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Y:\Corporate Services\Knowledge Management\Knowledge Zone - Public\CCS\CC2001\Holding\"/>
    </mc:Choice>
  </mc:AlternateContent>
  <bookViews>
    <workbookView xWindow="480" yWindow="120" windowWidth="11355" windowHeight="8430" tabRatio="941"/>
  </bookViews>
  <sheets>
    <sheet name="Disclaimer" sheetId="15" r:id="rId1"/>
    <sheet name="Title Page" sheetId="1" r:id="rId2"/>
    <sheet name="Contents" sheetId="2" r:id="rId3"/>
    <sheet name="Input Data" sheetId="3" r:id="rId4"/>
    <sheet name="IGCC w CC" sheetId="4" r:id="rId5"/>
    <sheet name="IGCC wo CC" sheetId="5" r:id="rId6"/>
    <sheet name="CCGT w 90% CC" sheetId="6" r:id="rId7"/>
    <sheet name="CCGT w 75% CC" sheetId="14" r:id="rId8"/>
    <sheet name="CCGT wo CC" sheetId="7" r:id="rId9"/>
    <sheet name="USCPC w CC" sheetId="8" r:id="rId10"/>
    <sheet name="USCPC wo CC" sheetId="9" r:id="rId11"/>
    <sheet name="OXYFUEL with CC" sheetId="10" r:id="rId12"/>
    <sheet name="Summary Results" sheetId="13" r:id="rId13"/>
  </sheets>
  <externalReferences>
    <externalReference r:id="rId14"/>
    <externalReference r:id="rId15"/>
  </externalReferences>
  <definedNames>
    <definedName name="CapexVarIn" localSheetId="12">'[1]Input Data'!#REF!</definedName>
    <definedName name="CapexVarIn">'Input Data'!#REF!</definedName>
    <definedName name="CapitalMoney">#REF!</definedName>
    <definedName name="CompScenIn" localSheetId="12">'[1]Input Data'!#REF!</definedName>
    <definedName name="CompScenIn">'Input Data'!#REF!</definedName>
    <definedName name="ConCostProfBaseIn" localSheetId="12">'[1]Input Data'!#REF!</definedName>
    <definedName name="ConCostProfBaseIn">'Input Data'!#REF!</definedName>
    <definedName name="ConCostProfEarlIn" localSheetId="12">'[1]Input Data'!#REF!</definedName>
    <definedName name="ConCostProfEarlIn">'Input Data'!#REF!</definedName>
    <definedName name="ConCostProfIn" localSheetId="12">'[1]Input Data'!#REF!</definedName>
    <definedName name="ConCostProfIn">'Input Data'!#REF!</definedName>
    <definedName name="ConCostProfLateIn" localSheetId="12">'[1]Input Data'!#REF!</definedName>
    <definedName name="ConCostProfLateIn">'Input Data'!#REF!</definedName>
    <definedName name="ConstCostIn" localSheetId="12">'[1]Input Data'!#REF!</definedName>
    <definedName name="ConstCostIn">'Input Data'!#REF!</definedName>
    <definedName name="CorpTaxIn" localSheetId="12">'[1]Input Data'!#REF!</definedName>
    <definedName name="CorpTaxIn">'Input Data'!#REF!</definedName>
    <definedName name="CreditorsMonthsIn" localSheetId="12">'[1]Input Data'!#REF!</definedName>
    <definedName name="CreditorsMonthsIn">'Input Data'!#REF!</definedName>
    <definedName name="CumFA">[2]Calculations!#REF!</definedName>
    <definedName name="DataSet" localSheetId="12">'[1]Input Data'!#REF!</definedName>
    <definedName name="DataSet">'Input Data'!#REF!</definedName>
    <definedName name="DaysYearIn" localSheetId="12">'[1]Input Data'!#REF!</definedName>
    <definedName name="DaysYearIn">'Input Data'!#REF!</definedName>
    <definedName name="DebtorsMonthsIn" localSheetId="12">'[1]Input Data'!#REF!</definedName>
    <definedName name="DebtorsMonthsIn">'Input Data'!#REF!</definedName>
    <definedName name="DiviRatioIn" localSheetId="12">'[1]Input Data'!#REF!</definedName>
    <definedName name="DiviRatioIn">'Input Data'!#REF!</definedName>
    <definedName name="EskbPassengerIn" localSheetId="12">'[1]Input Data'!#REF!</definedName>
    <definedName name="EskbPassengerIn">'Input Data'!#REF!</definedName>
    <definedName name="EskbTicketIn" localSheetId="12">'[1]Input Data'!#REF!</definedName>
    <definedName name="EskbTicketIn">'Input Data'!#REF!</definedName>
    <definedName name="FADeprIn" localSheetId="12">'[1]Input Data'!#REF!</definedName>
    <definedName name="FADeprIn">'Input Data'!#REF!</definedName>
    <definedName name="FixCostVarIn" localSheetId="12">'[1]Input Data'!#REF!</definedName>
    <definedName name="FixCostVarIn">'Input Data'!#REF!</definedName>
    <definedName name="FixedFeeIn" localSheetId="12">'[1]Input Data'!#REF!</definedName>
    <definedName name="FixedFeeIn">'Input Data'!#REF!</definedName>
    <definedName name="GalaPassengerIn" localSheetId="12">'[1]Input Data'!#REF!</definedName>
    <definedName name="GalaPassengerIn">'Input Data'!#REF!</definedName>
    <definedName name="GalaTicketIn" localSheetId="12">'[1]Input Data'!#REF!</definedName>
    <definedName name="GalaTicketIn">'Input Data'!#REF!</definedName>
    <definedName name="GorePassengerIn" localSheetId="12">'[1]Input Data'!#REF!</definedName>
    <definedName name="GorePassengerIn">'Input Data'!#REF!</definedName>
    <definedName name="GoreTicketIn" localSheetId="12">'[1]Input Data'!#REF!</definedName>
    <definedName name="GoreTicketIn">'Input Data'!#REF!</definedName>
    <definedName name="gs" localSheetId="7">'CCGT w 75% CC'!$AH$41</definedName>
    <definedName name="gs" localSheetId="6">'CCGT w 90% CC'!$AH$41</definedName>
    <definedName name="gs" localSheetId="8">'CCGT wo CC'!$AH$41</definedName>
    <definedName name="gs" localSheetId="5">'IGCC wo CC'!$AH$48</definedName>
    <definedName name="gs" localSheetId="11">'OXYFUEL with CC'!$AH$42</definedName>
    <definedName name="gs" localSheetId="9">'USCPC w CC'!$AH$42</definedName>
    <definedName name="gs" localSheetId="10">'USCPC wo CC'!$AH$42</definedName>
    <definedName name="gs">'IGCC w CC'!$AH$48</definedName>
    <definedName name="InvIRRIn" localSheetId="12">'[1]Input Data'!#REF!</definedName>
    <definedName name="InvIRRIn">'Input Data'!#REF!</definedName>
    <definedName name="InvROIIn" localSheetId="12">'[1]Input Data'!#REF!</definedName>
    <definedName name="InvROIIn">'Input Data'!#REF!</definedName>
    <definedName name="LTLoanAmtIn" localSheetId="12">'[1]Input Data'!#REF!</definedName>
    <definedName name="LTLoanAmtIn">'Input Data'!#REF!</definedName>
    <definedName name="LTLoanDurIn" localSheetId="12">'[1]Input Data'!#REF!</definedName>
    <definedName name="LTLoanDurIn">'Input Data'!#REF!</definedName>
    <definedName name="LTLoanRateIn" localSheetId="12">'[1]Input Data'!#REF!</definedName>
    <definedName name="LTLoanRateIn">'Input Data'!#REF!</definedName>
    <definedName name="ModelName" localSheetId="2">'[2]Title Page'!$B$28</definedName>
    <definedName name="ModelName" localSheetId="3">'[2]Title Page'!$B$28</definedName>
    <definedName name="ModelName" localSheetId="12">'[1]Title Page'!#REF!</definedName>
    <definedName name="ModelName">'Title Page'!#REF!</definedName>
    <definedName name="ModelNumber">Contents!$C$16</definedName>
    <definedName name="Money">#REF!</definedName>
    <definedName name="MonthsYearIn" localSheetId="12">'[1]Input Data'!#REF!</definedName>
    <definedName name="MonthsYearIn">'Input Data'!#REF!</definedName>
    <definedName name="NewtPassengerIn" localSheetId="12">'[1]Input Data'!#REF!</definedName>
    <definedName name="NewtPassengerIn">'Input Data'!#REF!</definedName>
    <definedName name="NewtTicketIn" localSheetId="12">'[1]Input Data'!#REF!</definedName>
    <definedName name="NewtTicketIn">'Input Data'!#REF!</definedName>
    <definedName name="OffOvhdIn" localSheetId="12">'[1]Input Data'!#REF!</definedName>
    <definedName name="OffOvhdIn">'Input Data'!#REF!</definedName>
    <definedName name="OpProfileBaseIn" localSheetId="12">'[1]Input Data'!#REF!</definedName>
    <definedName name="OpProfileBaseIn">'Input Data'!#REF!</definedName>
    <definedName name="OpProfileEarlIn" localSheetId="12">'[1]Input Data'!#REF!</definedName>
    <definedName name="OpProfileEarlIn">'Input Data'!#REF!</definedName>
    <definedName name="OpProfileIn" localSheetId="12">'[1]Input Data'!#REF!</definedName>
    <definedName name="OpProfileIn">'Input Data'!#REF!</definedName>
    <definedName name="OpProfileLateIn" localSheetId="12">'[1]Input Data'!#REF!</definedName>
    <definedName name="OpProfileLateIn">'Input Data'!#REF!</definedName>
    <definedName name="OverdraftIn" localSheetId="12">'[1]Input Data'!#REF!</definedName>
    <definedName name="OverdraftIn">'Input Data'!#REF!</definedName>
    <definedName name="PotentialTax">[2]Calculations!#REF!</definedName>
    <definedName name="PWMaintIn" localSheetId="12">'[1]Input Data'!#REF!</definedName>
    <definedName name="PWMaintIn">'Input Data'!#REF!</definedName>
    <definedName name="ReleaseDate">Contents!$C$15</definedName>
    <definedName name="RevScenIn" localSheetId="12">'[1]Input Data'!#REF!</definedName>
    <definedName name="RevScenIn">'Input Data'!#REF!</definedName>
    <definedName name="SelectCompScen" localSheetId="12">'[1]Input Data'!#REF!</definedName>
    <definedName name="SelectCompScen">'Input Data'!#REF!</definedName>
    <definedName name="SelectRevScen" localSheetId="12">'[1]Input Data'!#REF!</definedName>
    <definedName name="SelectRevScen">'Input Data'!#REF!</definedName>
    <definedName name="ShawPassengerIn" localSheetId="12">'[1]Input Data'!#REF!</definedName>
    <definedName name="ShawPassengerIn">'Input Data'!#REF!</definedName>
    <definedName name="ShawTicketIn" localSheetId="12">'[1]Input Data'!#REF!</definedName>
    <definedName name="ShawTicketIn">'Input Data'!#REF!</definedName>
    <definedName name="SigOpexIn" localSheetId="12">'[1]Input Data'!#REF!</definedName>
    <definedName name="SigOpexIn">'Input Data'!#REF!</definedName>
    <definedName name="SigSysCostIn" localSheetId="12">'[1]Input Data'!#REF!</definedName>
    <definedName name="SigSysCostIn">'Input Data'!#REF!</definedName>
    <definedName name="StatOpexIn" localSheetId="12">'[1]Input Data'!#REF!</definedName>
    <definedName name="StatOpexIn">'Input Data'!#REF!</definedName>
    <definedName name="STLoanAmtIn" localSheetId="12">'[1]Input Data'!#REF!</definedName>
    <definedName name="STLoanAmtIn">'Input Data'!#REF!</definedName>
    <definedName name="STLoanDurIn" localSheetId="12">'[1]Input Data'!#REF!</definedName>
    <definedName name="STLoanDurIn">'Input Data'!#REF!</definedName>
    <definedName name="STLoanRateIn" localSheetId="12">'[1]Input Data'!#REF!</definedName>
    <definedName name="STLoanRateIn">'Input Data'!#REF!</definedName>
    <definedName name="StockIn" localSheetId="12">'[1]Input Data'!#REF!</definedName>
    <definedName name="StockIn">'Input Data'!#REF!</definedName>
    <definedName name="StrucMaintIn" localSheetId="12">'[1]Input Data'!#REF!</definedName>
    <definedName name="StrucMaintIn">'Input Data'!#REF!</definedName>
    <definedName name="SubsidyIn" localSheetId="12">'[1]Input Data'!#REF!</definedName>
    <definedName name="SubsidyIn">'Input Data'!#REF!</definedName>
    <definedName name="TickRevIn" localSheetId="12">'[1]Input Data'!#REF!</definedName>
    <definedName name="TickRevIn">'Input Data'!#REF!</definedName>
    <definedName name="TimeLine" localSheetId="12">'[1]Input Data'!#REF!</definedName>
    <definedName name="TimeLine">'Input Data'!#REF!</definedName>
    <definedName name="TrackMaintIn" localSheetId="12">'[1]Input Data'!#REF!</definedName>
    <definedName name="TrackMaintIn">'Input Data'!#REF!</definedName>
    <definedName name="TrainCapIn" localSheetId="12">'[1]Input Data'!#REF!</definedName>
    <definedName name="TrainCapIn">'Input Data'!#REF!</definedName>
    <definedName name="TweedTicketIn" localSheetId="12">'[1]Input Data'!#REF!</definedName>
    <definedName name="TweedTicketIn">'Input Data'!#REF!</definedName>
    <definedName name="TweePassengerIn" localSheetId="12">'[1]Input Data'!#REF!</definedName>
    <definedName name="TweePassengerIn">'Input Data'!#REF!</definedName>
    <definedName name="TweeTicketIn" localSheetId="12">'[1]Input Data'!#REF!</definedName>
    <definedName name="TweeTicketIn">'Input Data'!#REF!</definedName>
    <definedName name="VarCostVarIn" localSheetId="12">'[1]Input Data'!#REF!</definedName>
    <definedName name="VarCostVarIn">'Input Data'!#REF!</definedName>
    <definedName name="VarFeeIn" localSheetId="12">'[1]Input Data'!#REF!</definedName>
    <definedName name="VarFeeIn">'Input Data'!#REF!</definedName>
    <definedName name="Z_F792C52D_3F7D_4169_B87A_F2F2698FB257_.wvu.Cols" localSheetId="2" hidden="1">Contents!$H:$IV</definedName>
    <definedName name="Z_F792C52D_3F7D_4169_B87A_F2F2698FB257_.wvu.Cols" localSheetId="3" hidden="1">'Input Data'!$AI:$IV</definedName>
    <definedName name="Z_F792C52D_3F7D_4169_B87A_F2F2698FB257_.wvu.Cols" localSheetId="1" hidden="1">'Title Page'!$U:$IV</definedName>
    <definedName name="Z_F792C52D_3F7D_4169_B87A_F2F2698FB257_.wvu.Rows" localSheetId="2" hidden="1">Contents!$34:$65536</definedName>
    <definedName name="Z_F792C52D_3F7D_4169_B87A_F2F2698FB257_.wvu.Rows" localSheetId="3" hidden="1">'Input Data'!$1:$1048576,'Input Data'!$134:$327</definedName>
    <definedName name="Z_F792C52D_3F7D_4169_B87A_F2F2698FB257_.wvu.Rows" localSheetId="1" hidden="1">'Title Page'!$38:$65536,'Title Page'!#REF!</definedName>
  </definedNames>
  <calcPr calcId="152511"/>
  <customWorkbookViews>
    <customWorkbookView name="b4778 - Personal View" guid="{F792C52D-3F7D-4169-B87A-F2F2698FB257}" mergeInterval="0" personalView="1" maximized="1" windowWidth="1276" windowHeight="861" activeSheetId="4"/>
  </customWorkbookViews>
</workbook>
</file>

<file path=xl/calcChain.xml><?xml version="1.0" encoding="utf-8"?>
<calcChain xmlns="http://schemas.openxmlformats.org/spreadsheetml/2006/main">
  <c r="E33" i="3" l="1"/>
  <c r="E32" i="3"/>
  <c r="E28" i="3"/>
  <c r="E26" i="3"/>
  <c r="AU33" i="3"/>
  <c r="AU32" i="3"/>
  <c r="AU31"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BF70" i="3"/>
  <c r="AW70" i="3"/>
  <c r="AP70" i="3"/>
  <c r="AI70" i="3"/>
  <c r="AB70" i="3"/>
  <c r="U70" i="3"/>
  <c r="N70" i="3"/>
  <c r="BF77" i="3"/>
  <c r="AW77" i="3"/>
  <c r="AP77" i="3"/>
  <c r="AI77" i="3"/>
  <c r="AB77" i="3"/>
  <c r="U77" i="3"/>
  <c r="N77" i="3"/>
  <c r="G70" i="3"/>
  <c r="G77" i="3"/>
  <c r="K14" i="14"/>
  <c r="BF47" i="3"/>
  <c r="G13" i="14"/>
  <c r="B10" i="14"/>
  <c r="H6" i="13"/>
  <c r="I6" i="13"/>
  <c r="BF33" i="3"/>
  <c r="H10" i="13" s="1"/>
  <c r="BF22" i="3"/>
  <c r="H4" i="13" s="1"/>
  <c r="BF18" i="3"/>
  <c r="BF19" i="3"/>
  <c r="BF20" i="3"/>
  <c r="BF21" i="3"/>
  <c r="BF32" i="3"/>
  <c r="H8" i="13"/>
  <c r="H11" i="13"/>
  <c r="BD31" i="3"/>
  <c r="BF31" i="3" s="1"/>
  <c r="H7" i="13" s="1"/>
  <c r="H12" i="13"/>
  <c r="I22" i="14"/>
  <c r="I23" i="14"/>
  <c r="J22" i="14"/>
  <c r="J23" i="14"/>
  <c r="K22" i="14"/>
  <c r="K23" i="14"/>
  <c r="K24" i="14" s="1"/>
  <c r="K34" i="14" s="1"/>
  <c r="L22" i="14"/>
  <c r="L23" i="14"/>
  <c r="L24" i="14" s="1"/>
  <c r="L34" i="14" s="1"/>
  <c r="M22" i="14"/>
  <c r="M23" i="14"/>
  <c r="N22" i="14"/>
  <c r="N23" i="14"/>
  <c r="O22" i="14"/>
  <c r="O24" i="14" s="1"/>
  <c r="O34" i="14" s="1"/>
  <c r="O23" i="14"/>
  <c r="P22" i="14"/>
  <c r="P23" i="14"/>
  <c r="Q22" i="14"/>
  <c r="Q23" i="14"/>
  <c r="R22" i="14"/>
  <c r="R24" i="14" s="1"/>
  <c r="R34" i="14" s="1"/>
  <c r="R23" i="14"/>
  <c r="S22" i="14"/>
  <c r="S24" i="14" s="1"/>
  <c r="S23" i="14"/>
  <c r="S34" i="14"/>
  <c r="T22" i="14"/>
  <c r="T23" i="14"/>
  <c r="U22" i="14"/>
  <c r="U24" i="14" s="1"/>
  <c r="U23" i="14"/>
  <c r="V22" i="14"/>
  <c r="V24" i="14" s="1"/>
  <c r="V34" i="14" s="1"/>
  <c r="V23" i="14"/>
  <c r="W22" i="14"/>
  <c r="W24" i="14" s="1"/>
  <c r="W34" i="14" s="1"/>
  <c r="W23" i="14"/>
  <c r="X22" i="14"/>
  <c r="X23" i="14"/>
  <c r="Y22" i="14"/>
  <c r="Y24" i="14" s="1"/>
  <c r="Y23" i="14"/>
  <c r="Z22" i="14"/>
  <c r="Z24" i="14" s="1"/>
  <c r="Z34" i="14" s="1"/>
  <c r="Z23" i="14"/>
  <c r="AA22" i="14"/>
  <c r="AA24" i="14" s="1"/>
  <c r="AA23" i="14"/>
  <c r="AA34" i="14"/>
  <c r="AB22" i="14"/>
  <c r="AB23" i="14"/>
  <c r="T88" i="3"/>
  <c r="U89" i="3" s="1"/>
  <c r="BF74" i="3"/>
  <c r="K32" i="14" s="1"/>
  <c r="J32" i="14"/>
  <c r="L32" i="14"/>
  <c r="N32" i="14"/>
  <c r="P32" i="14"/>
  <c r="R32" i="14"/>
  <c r="T32" i="14"/>
  <c r="V32" i="14"/>
  <c r="Y32" i="14"/>
  <c r="AA32" i="14"/>
  <c r="M7" i="14"/>
  <c r="BF72" i="3"/>
  <c r="M6" i="14" s="1"/>
  <c r="BF51" i="3"/>
  <c r="BF52" i="3"/>
  <c r="BF55" i="3"/>
  <c r="BE88" i="3"/>
  <c r="BF89" i="3" s="1"/>
  <c r="AC34" i="14" s="1"/>
  <c r="BB111" i="3"/>
  <c r="BF86" i="3"/>
  <c r="R9" i="14"/>
  <c r="BF83" i="3"/>
  <c r="P13" i="14"/>
  <c r="BF81" i="3"/>
  <c r="R10" i="14"/>
  <c r="BF80" i="3"/>
  <c r="N11" i="14"/>
  <c r="BF79" i="3"/>
  <c r="N10" i="14"/>
  <c r="BF78" i="3"/>
  <c r="N9" i="14"/>
  <c r="BF76" i="3"/>
  <c r="M5" i="14"/>
  <c r="BG71" i="3"/>
  <c r="BF67" i="3"/>
  <c r="BF66" i="3"/>
  <c r="I7" i="14"/>
  <c r="BF65" i="3"/>
  <c r="I6" i="14"/>
  <c r="BF63" i="3"/>
  <c r="BG64" i="3"/>
  <c r="BF64" i="3"/>
  <c r="I8" i="14"/>
  <c r="BF48" i="3"/>
  <c r="BF49" i="3"/>
  <c r="BF50" i="3"/>
  <c r="BF53" i="3"/>
  <c r="BF54" i="3"/>
  <c r="BF56" i="3"/>
  <c r="BF57" i="3"/>
  <c r="BD60" i="3"/>
  <c r="BG48" i="3"/>
  <c r="BF40" i="3"/>
  <c r="BF37" i="3"/>
  <c r="BF34" i="3"/>
  <c r="BD27" i="3"/>
  <c r="BF27" i="3"/>
  <c r="E5" i="14" s="1"/>
  <c r="BD23" i="3"/>
  <c r="BF14" i="3"/>
  <c r="BF13" i="3"/>
  <c r="BF12" i="3"/>
  <c r="BF10" i="3"/>
  <c r="BG11" i="3" s="1"/>
  <c r="BF11" i="3"/>
  <c r="F25" i="14"/>
  <c r="G25" i="14"/>
  <c r="H25" i="14"/>
  <c r="W22" i="10"/>
  <c r="W24" i="10" s="1"/>
  <c r="W23" i="10"/>
  <c r="AB22" i="10"/>
  <c r="AB23" i="10"/>
  <c r="AB24" i="10" s="1"/>
  <c r="AA22" i="10"/>
  <c r="AA24" i="10" s="1"/>
  <c r="AA35" i="10" s="1"/>
  <c r="AA23" i="10"/>
  <c r="Z22" i="10"/>
  <c r="Z23" i="10"/>
  <c r="Y22" i="10"/>
  <c r="Y23" i="10"/>
  <c r="X22" i="10"/>
  <c r="X23" i="10"/>
  <c r="X24" i="10" s="1"/>
  <c r="V22" i="10"/>
  <c r="V23" i="10"/>
  <c r="V24" i="10"/>
  <c r="U22" i="10"/>
  <c r="U24" i="10" s="1"/>
  <c r="U23" i="10"/>
  <c r="T22" i="10"/>
  <c r="T23" i="10"/>
  <c r="S22" i="10"/>
  <c r="S23" i="10"/>
  <c r="R22" i="10"/>
  <c r="R23" i="10"/>
  <c r="R24" i="10"/>
  <c r="Q22" i="10"/>
  <c r="Q23" i="10"/>
  <c r="P22" i="10"/>
  <c r="P23" i="10"/>
  <c r="O22" i="10"/>
  <c r="O23" i="10"/>
  <c r="O24" i="10" s="1"/>
  <c r="N22" i="10"/>
  <c r="N24" i="10" s="1"/>
  <c r="N35" i="10" s="1"/>
  <c r="N23" i="10"/>
  <c r="M22" i="10"/>
  <c r="M23" i="10"/>
  <c r="L22" i="10"/>
  <c r="L24" i="10" s="1"/>
  <c r="L23" i="10"/>
  <c r="K22" i="10"/>
  <c r="K23" i="10"/>
  <c r="J22" i="10"/>
  <c r="J23" i="10"/>
  <c r="J24" i="10"/>
  <c r="I22" i="10"/>
  <c r="I24" i="10" s="1"/>
  <c r="I23" i="10"/>
  <c r="AB22" i="9"/>
  <c r="AB23" i="9"/>
  <c r="AA22" i="9"/>
  <c r="AA23" i="9"/>
  <c r="AA24" i="9" s="1"/>
  <c r="Z22" i="9"/>
  <c r="Z23" i="9"/>
  <c r="Z24" i="9"/>
  <c r="Y22" i="9"/>
  <c r="Y24" i="9" s="1"/>
  <c r="Y23" i="9"/>
  <c r="X22" i="9"/>
  <c r="X23" i="9"/>
  <c r="W22" i="9"/>
  <c r="W23" i="9"/>
  <c r="V22" i="9"/>
  <c r="V23" i="9"/>
  <c r="V24" i="9"/>
  <c r="U22" i="9"/>
  <c r="U23" i="9"/>
  <c r="T22" i="9"/>
  <c r="T23" i="9"/>
  <c r="S22" i="9"/>
  <c r="S23" i="9"/>
  <c r="S24" i="9" s="1"/>
  <c r="R22" i="9"/>
  <c r="R24" i="9" s="1"/>
  <c r="R23" i="9"/>
  <c r="Q22" i="9"/>
  <c r="Q24" i="9" s="1"/>
  <c r="Q23" i="9"/>
  <c r="P22" i="9"/>
  <c r="P24" i="9" s="1"/>
  <c r="P23" i="9"/>
  <c r="O22" i="9"/>
  <c r="O23" i="9"/>
  <c r="N22" i="9"/>
  <c r="N23" i="9"/>
  <c r="N24" i="9"/>
  <c r="M22" i="9"/>
  <c r="M24" i="9" s="1"/>
  <c r="M23" i="9"/>
  <c r="L22" i="9"/>
  <c r="L23" i="9"/>
  <c r="K22" i="9"/>
  <c r="K23" i="9"/>
  <c r="J22" i="9"/>
  <c r="J23" i="9"/>
  <c r="J24" i="9"/>
  <c r="I22" i="9"/>
  <c r="I24" i="9" s="1"/>
  <c r="I23" i="9"/>
  <c r="AB22" i="8"/>
  <c r="AB24" i="8" s="1"/>
  <c r="AB23" i="8"/>
  <c r="AA22" i="8"/>
  <c r="AA23" i="8"/>
  <c r="Z22" i="8"/>
  <c r="Z24" i="8" s="1"/>
  <c r="Z23" i="8"/>
  <c r="Y22" i="8"/>
  <c r="Y23" i="8"/>
  <c r="X22" i="8"/>
  <c r="X23" i="8"/>
  <c r="W22" i="8"/>
  <c r="W23" i="8"/>
  <c r="W24" i="8" s="1"/>
  <c r="V22" i="8"/>
  <c r="V24" i="8" s="1"/>
  <c r="V23" i="8"/>
  <c r="U22" i="8"/>
  <c r="U24" i="8" s="1"/>
  <c r="U23" i="8"/>
  <c r="T22" i="8"/>
  <c r="T24" i="8" s="1"/>
  <c r="T23" i="8"/>
  <c r="S22" i="8"/>
  <c r="S23" i="8"/>
  <c r="R22" i="8"/>
  <c r="R23" i="8"/>
  <c r="R24" i="8"/>
  <c r="Q22" i="8"/>
  <c r="Q23" i="8"/>
  <c r="P22" i="8"/>
  <c r="P23" i="8"/>
  <c r="O22" i="8"/>
  <c r="O23" i="8"/>
  <c r="O24" i="8" s="1"/>
  <c r="N22" i="8"/>
  <c r="N23" i="8"/>
  <c r="N24" i="8" s="1"/>
  <c r="M22" i="8"/>
  <c r="M24" i="8" s="1"/>
  <c r="M23" i="8"/>
  <c r="L22" i="8"/>
  <c r="L24" i="8" s="1"/>
  <c r="L23" i="8"/>
  <c r="K22" i="8"/>
  <c r="K23" i="8"/>
  <c r="J22" i="8"/>
  <c r="J24" i="8" s="1"/>
  <c r="J23" i="8"/>
  <c r="I22" i="8"/>
  <c r="I23" i="8"/>
  <c r="AB22" i="7"/>
  <c r="AB23" i="7"/>
  <c r="AA22" i="7"/>
  <c r="AA23" i="7"/>
  <c r="Z22" i="7"/>
  <c r="Z23" i="7"/>
  <c r="Y22" i="7"/>
  <c r="Y23" i="7"/>
  <c r="X22" i="7"/>
  <c r="X23" i="7"/>
  <c r="W22" i="7"/>
  <c r="W23" i="7"/>
  <c r="V22" i="7"/>
  <c r="V23" i="7"/>
  <c r="U22" i="7"/>
  <c r="U23" i="7"/>
  <c r="T22" i="7"/>
  <c r="T23" i="7"/>
  <c r="S22" i="7"/>
  <c r="S23" i="7"/>
  <c r="R22" i="7"/>
  <c r="R23" i="7"/>
  <c r="Q22" i="7"/>
  <c r="Q23" i="7"/>
  <c r="P22" i="7"/>
  <c r="P23" i="7"/>
  <c r="O22" i="7"/>
  <c r="O23" i="7"/>
  <c r="N22" i="7"/>
  <c r="N23" i="7"/>
  <c r="M22" i="7"/>
  <c r="M23" i="7"/>
  <c r="L22" i="7"/>
  <c r="L23" i="7"/>
  <c r="K22" i="7"/>
  <c r="K23" i="7"/>
  <c r="J22" i="7"/>
  <c r="J23" i="7"/>
  <c r="I22" i="7"/>
  <c r="I23" i="7"/>
  <c r="AB22" i="6"/>
  <c r="AB23" i="6"/>
  <c r="AA22" i="6"/>
  <c r="AA23" i="6"/>
  <c r="Z22" i="6"/>
  <c r="Z23" i="6"/>
  <c r="Y22" i="6"/>
  <c r="Y23" i="6"/>
  <c r="X22" i="6"/>
  <c r="X23" i="6"/>
  <c r="W22" i="6"/>
  <c r="W23" i="6"/>
  <c r="V22" i="6"/>
  <c r="V32" i="6" s="1"/>
  <c r="V23" i="6"/>
  <c r="U22" i="6"/>
  <c r="U23" i="6"/>
  <c r="T22" i="6"/>
  <c r="T23" i="6"/>
  <c r="S22" i="6"/>
  <c r="S23" i="6"/>
  <c r="R22" i="6"/>
  <c r="R23" i="6"/>
  <c r="Q22" i="6"/>
  <c r="Q23" i="6"/>
  <c r="P22" i="6"/>
  <c r="P23" i="6"/>
  <c r="O22" i="6"/>
  <c r="O23" i="6"/>
  <c r="N22" i="6"/>
  <c r="N32" i="6" s="1"/>
  <c r="N23" i="6"/>
  <c r="M22" i="6"/>
  <c r="M23" i="6"/>
  <c r="L22" i="6"/>
  <c r="L23" i="6"/>
  <c r="K22" i="6"/>
  <c r="K23" i="6"/>
  <c r="J22" i="6"/>
  <c r="J23" i="6"/>
  <c r="I22" i="6"/>
  <c r="I23" i="6"/>
  <c r="AB22" i="5"/>
  <c r="AB26" i="5" s="1"/>
  <c r="AB24" i="5"/>
  <c r="AA22" i="5"/>
  <c r="AA26" i="5" s="1"/>
  <c r="AA24" i="5"/>
  <c r="Z22" i="5"/>
  <c r="Z24" i="5"/>
  <c r="Y22" i="5"/>
  <c r="Y26" i="5" s="1"/>
  <c r="Y24" i="5"/>
  <c r="X22" i="5"/>
  <c r="X24" i="5"/>
  <c r="W22" i="5"/>
  <c r="W24" i="5"/>
  <c r="V22" i="5"/>
  <c r="V24" i="5"/>
  <c r="V26" i="5" s="1"/>
  <c r="U22" i="5"/>
  <c r="U26" i="5" s="1"/>
  <c r="U24" i="5"/>
  <c r="T22" i="5"/>
  <c r="T26" i="5" s="1"/>
  <c r="T24" i="5"/>
  <c r="S22" i="5"/>
  <c r="S26" i="5" s="1"/>
  <c r="S24" i="5"/>
  <c r="R22" i="5"/>
  <c r="R24" i="5"/>
  <c r="Q22" i="5"/>
  <c r="Q24" i="5"/>
  <c r="Q26" i="5"/>
  <c r="P22" i="5"/>
  <c r="P24" i="5"/>
  <c r="O22" i="5"/>
  <c r="O24" i="5"/>
  <c r="N22" i="5"/>
  <c r="N24" i="5"/>
  <c r="N26" i="5" s="1"/>
  <c r="M22" i="5"/>
  <c r="M24" i="5"/>
  <c r="M26" i="5" s="1"/>
  <c r="L22" i="5"/>
  <c r="L26" i="5" s="1"/>
  <c r="L24" i="5"/>
  <c r="K22" i="5"/>
  <c r="K26" i="5" s="1"/>
  <c r="K24" i="5"/>
  <c r="J22" i="5"/>
  <c r="J24" i="5"/>
  <c r="I22" i="5"/>
  <c r="I26" i="5" s="1"/>
  <c r="I24" i="5"/>
  <c r="AB23" i="5"/>
  <c r="AB25" i="5"/>
  <c r="AA23" i="5"/>
  <c r="AA25" i="5"/>
  <c r="Z23" i="5"/>
  <c r="Z25" i="5"/>
  <c r="Z27" i="5" s="1"/>
  <c r="Y23" i="5"/>
  <c r="Y27" i="5" s="1"/>
  <c r="Y25" i="5"/>
  <c r="X23" i="5"/>
  <c r="X27" i="5" s="1"/>
  <c r="X25" i="5"/>
  <c r="W23" i="5"/>
  <c r="W27" i="5" s="1"/>
  <c r="W25" i="5"/>
  <c r="V23" i="5"/>
  <c r="V25" i="5"/>
  <c r="U23" i="5"/>
  <c r="U25" i="5"/>
  <c r="U27" i="5"/>
  <c r="T23" i="5"/>
  <c r="T25" i="5"/>
  <c r="S23" i="5"/>
  <c r="S25" i="5"/>
  <c r="R23" i="5"/>
  <c r="R25" i="5"/>
  <c r="R27" i="5" s="1"/>
  <c r="Q23" i="5"/>
  <c r="Q25" i="5"/>
  <c r="Q27" i="5" s="1"/>
  <c r="P23" i="5"/>
  <c r="P27" i="5" s="1"/>
  <c r="P25" i="5"/>
  <c r="O23" i="5"/>
  <c r="O27" i="5" s="1"/>
  <c r="O25" i="5"/>
  <c r="N23" i="5"/>
  <c r="N25" i="5"/>
  <c r="M23" i="5"/>
  <c r="M27" i="5" s="1"/>
  <c r="M25" i="5"/>
  <c r="L23" i="5"/>
  <c r="L25" i="5"/>
  <c r="K23" i="5"/>
  <c r="K25" i="5"/>
  <c r="J23" i="5"/>
  <c r="J25" i="5"/>
  <c r="J27" i="5" s="1"/>
  <c r="I23" i="5"/>
  <c r="I27" i="5" s="1"/>
  <c r="I25" i="5"/>
  <c r="AA22" i="4"/>
  <c r="AA26" i="4" s="1"/>
  <c r="AA24" i="4"/>
  <c r="Z22" i="4"/>
  <c r="Z26" i="4" s="1"/>
  <c r="Z24" i="4"/>
  <c r="Y22" i="4"/>
  <c r="Y24" i="4"/>
  <c r="X22" i="4"/>
  <c r="X24" i="4"/>
  <c r="X26" i="4"/>
  <c r="W22" i="4"/>
  <c r="W24" i="4"/>
  <c r="V22" i="4"/>
  <c r="V24" i="4"/>
  <c r="U22" i="4"/>
  <c r="U24" i="4"/>
  <c r="U26" i="4" s="1"/>
  <c r="T22" i="4"/>
  <c r="T24" i="4"/>
  <c r="T26" i="4" s="1"/>
  <c r="S22" i="4"/>
  <c r="S26" i="4" s="1"/>
  <c r="S24" i="4"/>
  <c r="R22" i="4"/>
  <c r="R26" i="4" s="1"/>
  <c r="R24" i="4"/>
  <c r="Q22" i="4"/>
  <c r="Q24" i="4"/>
  <c r="P22" i="4"/>
  <c r="P26" i="4" s="1"/>
  <c r="P24" i="4"/>
  <c r="O22" i="4"/>
  <c r="O24" i="4"/>
  <c r="N22" i="4"/>
  <c r="N24" i="4"/>
  <c r="M22" i="4"/>
  <c r="M24" i="4"/>
  <c r="M26" i="4" s="1"/>
  <c r="L22" i="4"/>
  <c r="L26" i="4" s="1"/>
  <c r="L24" i="4"/>
  <c r="K22" i="4"/>
  <c r="K26" i="4" s="1"/>
  <c r="K24" i="4"/>
  <c r="J22" i="4"/>
  <c r="J26" i="4" s="1"/>
  <c r="J24" i="4"/>
  <c r="F88" i="3"/>
  <c r="G89" i="3" s="1"/>
  <c r="AA23" i="4"/>
  <c r="AA27" i="4" s="1"/>
  <c r="AA25" i="4"/>
  <c r="Z23" i="4"/>
  <c r="Z27" i="4" s="1"/>
  <c r="Z25" i="4"/>
  <c r="Y23" i="4"/>
  <c r="Y25" i="4"/>
  <c r="X23" i="4"/>
  <c r="X27" i="4" s="1"/>
  <c r="X25" i="4"/>
  <c r="W23" i="4"/>
  <c r="W25" i="4"/>
  <c r="V23" i="4"/>
  <c r="V25" i="4"/>
  <c r="U23" i="4"/>
  <c r="U25" i="4"/>
  <c r="U27" i="4" s="1"/>
  <c r="T23" i="4"/>
  <c r="T27" i="4" s="1"/>
  <c r="T25" i="4"/>
  <c r="S23" i="4"/>
  <c r="S27" i="4" s="1"/>
  <c r="S25" i="4"/>
  <c r="R23" i="4"/>
  <c r="R27" i="4" s="1"/>
  <c r="R25" i="4"/>
  <c r="Q23" i="4"/>
  <c r="Q25" i="4"/>
  <c r="P23" i="4"/>
  <c r="P25" i="4"/>
  <c r="P27" i="4"/>
  <c r="O23" i="4"/>
  <c r="O25" i="4"/>
  <c r="N23" i="4"/>
  <c r="N25" i="4"/>
  <c r="M23" i="4"/>
  <c r="M25" i="4"/>
  <c r="M27" i="4" s="1"/>
  <c r="L23" i="4"/>
  <c r="L25" i="4"/>
  <c r="L27" i="4" s="1"/>
  <c r="K23" i="4"/>
  <c r="K27" i="4" s="1"/>
  <c r="K25" i="4"/>
  <c r="J23" i="4"/>
  <c r="J27" i="4" s="1"/>
  <c r="J25" i="4"/>
  <c r="L85" i="3"/>
  <c r="N85" i="3" s="1"/>
  <c r="R7" i="5" s="1"/>
  <c r="E85" i="3"/>
  <c r="U72" i="3"/>
  <c r="M6" i="6" s="1"/>
  <c r="I30" i="6" s="1"/>
  <c r="U74" i="3"/>
  <c r="AA32" i="6" s="1"/>
  <c r="AW67" i="3"/>
  <c r="AW66" i="3"/>
  <c r="AW65" i="3"/>
  <c r="AW63" i="3"/>
  <c r="AX64" i="3" s="1"/>
  <c r="AW64" i="3"/>
  <c r="AP67" i="3"/>
  <c r="AP66" i="3"/>
  <c r="AP65" i="3"/>
  <c r="AP63" i="3"/>
  <c r="AQ64" i="3" s="1"/>
  <c r="AP64" i="3"/>
  <c r="I8" i="9" s="1"/>
  <c r="AI67" i="3"/>
  <c r="AI66" i="3"/>
  <c r="I7" i="8" s="1"/>
  <c r="AI65" i="3"/>
  <c r="AI63" i="3"/>
  <c r="AJ64" i="3" s="1"/>
  <c r="AI64" i="3"/>
  <c r="AB67" i="3"/>
  <c r="AB66" i="3"/>
  <c r="AB65" i="3"/>
  <c r="AB63" i="3"/>
  <c r="AC64" i="3" s="1"/>
  <c r="AB64" i="3"/>
  <c r="I8" i="7" s="1"/>
  <c r="U67" i="3"/>
  <c r="U66" i="3"/>
  <c r="I7" i="6" s="1"/>
  <c r="U65" i="3"/>
  <c r="U63" i="3"/>
  <c r="V64" i="3" s="1"/>
  <c r="U64" i="3"/>
  <c r="N67" i="3"/>
  <c r="N66" i="3"/>
  <c r="N65" i="3"/>
  <c r="N63" i="3"/>
  <c r="O64" i="3" s="1"/>
  <c r="N64" i="3"/>
  <c r="I8" i="5" s="1"/>
  <c r="G63" i="3"/>
  <c r="H64" i="3" s="1"/>
  <c r="H71" i="3"/>
  <c r="G67" i="3"/>
  <c r="G66" i="3"/>
  <c r="G65" i="3"/>
  <c r="G64" i="3"/>
  <c r="N73" i="3"/>
  <c r="J11" i="13"/>
  <c r="I11" i="13"/>
  <c r="G11" i="13"/>
  <c r="F11" i="13"/>
  <c r="E11" i="13"/>
  <c r="D11" i="13"/>
  <c r="C11" i="13"/>
  <c r="AV88" i="3"/>
  <c r="AW89" i="3" s="1"/>
  <c r="AU11" i="3"/>
  <c r="AU22" i="3" s="1"/>
  <c r="AW18" i="3"/>
  <c r="AW20" i="3"/>
  <c r="AW21" i="3"/>
  <c r="AW37" i="3"/>
  <c r="AW26" i="3"/>
  <c r="E5" i="10" s="1"/>
  <c r="AW72" i="3"/>
  <c r="M6" i="10" s="1"/>
  <c r="AW74" i="3"/>
  <c r="AW40" i="3"/>
  <c r="AW73" i="3"/>
  <c r="AW33" i="3"/>
  <c r="AW86" i="3"/>
  <c r="R9" i="10" s="1"/>
  <c r="AB35" i="10"/>
  <c r="X35" i="10"/>
  <c r="W35" i="10"/>
  <c r="V35" i="10"/>
  <c r="U35" i="10"/>
  <c r="R35" i="10"/>
  <c r="O35" i="10"/>
  <c r="N30" i="10"/>
  <c r="M30" i="10"/>
  <c r="L35" i="10"/>
  <c r="L30" i="10"/>
  <c r="K30" i="10"/>
  <c r="J35" i="10"/>
  <c r="J30" i="10"/>
  <c r="AI73" i="3"/>
  <c r="I35" i="10"/>
  <c r="I30" i="10"/>
  <c r="H25" i="10"/>
  <c r="I6" i="10"/>
  <c r="I7" i="10"/>
  <c r="I8" i="10"/>
  <c r="G25" i="10"/>
  <c r="F25" i="10"/>
  <c r="M7" i="10"/>
  <c r="AO88" i="3"/>
  <c r="AP89" i="3" s="1"/>
  <c r="AP37" i="3"/>
  <c r="AP72" i="3"/>
  <c r="M6" i="9" s="1"/>
  <c r="AP74" i="3"/>
  <c r="AP40" i="3"/>
  <c r="AP73" i="3"/>
  <c r="AP86" i="3"/>
  <c r="R9" i="9" s="1"/>
  <c r="H25" i="9"/>
  <c r="I6" i="9"/>
  <c r="I7" i="9"/>
  <c r="G25" i="9"/>
  <c r="F25" i="9"/>
  <c r="M7" i="9"/>
  <c r="AH88" i="3"/>
  <c r="AI89" i="3" s="1"/>
  <c r="AI37" i="3"/>
  <c r="AI72" i="3"/>
  <c r="M6" i="8"/>
  <c r="AB30" i="8" s="1"/>
  <c r="AI74" i="3"/>
  <c r="AI40" i="3"/>
  <c r="AI86" i="3"/>
  <c r="R9" i="8"/>
  <c r="Y30" i="8"/>
  <c r="U30" i="8"/>
  <c r="Q30" i="8"/>
  <c r="M30" i="8"/>
  <c r="I30" i="8"/>
  <c r="H25" i="8"/>
  <c r="I6" i="8"/>
  <c r="I8" i="8"/>
  <c r="G25" i="8"/>
  <c r="F25" i="8"/>
  <c r="M7" i="8"/>
  <c r="AB86" i="3"/>
  <c r="R9" i="7" s="1"/>
  <c r="AB24" i="7"/>
  <c r="AB37" i="3"/>
  <c r="AB72" i="3"/>
  <c r="M6" i="7" s="1"/>
  <c r="AB74" i="3"/>
  <c r="AA24" i="7"/>
  <c r="Z24" i="7"/>
  <c r="Y24" i="7"/>
  <c r="X24" i="7"/>
  <c r="W24" i="7"/>
  <c r="V24" i="7"/>
  <c r="U24" i="7"/>
  <c r="T24" i="7"/>
  <c r="S24" i="7"/>
  <c r="R24" i="7"/>
  <c r="Q24" i="7"/>
  <c r="P24" i="7"/>
  <c r="O24" i="7"/>
  <c r="N24" i="7"/>
  <c r="M24" i="7"/>
  <c r="L24" i="7"/>
  <c r="K24" i="7"/>
  <c r="J24" i="7"/>
  <c r="I24" i="7"/>
  <c r="H25" i="7"/>
  <c r="I6" i="7"/>
  <c r="I7" i="7"/>
  <c r="G25" i="7"/>
  <c r="F25" i="7"/>
  <c r="M7" i="7"/>
  <c r="AA88" i="3"/>
  <c r="AB89" i="3"/>
  <c r="X122" i="3" s="1"/>
  <c r="M88" i="3"/>
  <c r="N89" i="3" s="1"/>
  <c r="U86" i="3"/>
  <c r="R9" i="6" s="1"/>
  <c r="J24" i="6"/>
  <c r="U37" i="3"/>
  <c r="J30" i="6"/>
  <c r="H25" i="6"/>
  <c r="I6" i="6"/>
  <c r="I8" i="6"/>
  <c r="G25" i="6"/>
  <c r="F25" i="6"/>
  <c r="K24" i="6"/>
  <c r="K30" i="6"/>
  <c r="L30" i="6"/>
  <c r="M24" i="6"/>
  <c r="M30" i="6"/>
  <c r="N24" i="6"/>
  <c r="N30" i="6"/>
  <c r="O30" i="6"/>
  <c r="P24" i="6"/>
  <c r="P30" i="6"/>
  <c r="Q24" i="6"/>
  <c r="Q30" i="6"/>
  <c r="R24" i="6"/>
  <c r="R30" i="6"/>
  <c r="S24" i="6"/>
  <c r="S30" i="6"/>
  <c r="T24" i="6"/>
  <c r="T30" i="6"/>
  <c r="U24" i="6"/>
  <c r="U30" i="6"/>
  <c r="V24" i="6"/>
  <c r="V30" i="6"/>
  <c r="W24" i="6"/>
  <c r="W30" i="6"/>
  <c r="X24" i="6"/>
  <c r="X30" i="6"/>
  <c r="Y24" i="6"/>
  <c r="Y30" i="6"/>
  <c r="Z24" i="6"/>
  <c r="Z30" i="6"/>
  <c r="AA24" i="6"/>
  <c r="AA30" i="6"/>
  <c r="AB24" i="6"/>
  <c r="AB30" i="6"/>
  <c r="M7" i="6"/>
  <c r="N86" i="3"/>
  <c r="R9" i="5"/>
  <c r="N37" i="3"/>
  <c r="E7" i="5"/>
  <c r="N84" i="3"/>
  <c r="R6" i="5"/>
  <c r="N38" i="3"/>
  <c r="N40" i="3"/>
  <c r="J121" i="3"/>
  <c r="AB19" i="5" s="1"/>
  <c r="H29" i="5"/>
  <c r="I6" i="5"/>
  <c r="I7" i="5"/>
  <c r="G29" i="5"/>
  <c r="F29" i="5"/>
  <c r="J132" i="3"/>
  <c r="AM19" i="5" s="1"/>
  <c r="AM37" i="5"/>
  <c r="G86" i="3"/>
  <c r="R9" i="4"/>
  <c r="G16" i="3"/>
  <c r="G17" i="3"/>
  <c r="G37" i="3"/>
  <c r="E7" i="4"/>
  <c r="G84" i="3"/>
  <c r="R6" i="4"/>
  <c r="U32" i="4" s="1"/>
  <c r="G38" i="3"/>
  <c r="G85" i="3"/>
  <c r="R7" i="4" s="1"/>
  <c r="G71" i="3"/>
  <c r="M5" i="4" s="1"/>
  <c r="G40" i="3"/>
  <c r="G73" i="3"/>
  <c r="AA32" i="4"/>
  <c r="S32" i="4"/>
  <c r="K32" i="4"/>
  <c r="H29" i="4"/>
  <c r="I6" i="4"/>
  <c r="I7" i="4"/>
  <c r="I8" i="4"/>
  <c r="G29" i="4"/>
  <c r="F29" i="4"/>
  <c r="M7" i="5"/>
  <c r="M7" i="4"/>
  <c r="AW16" i="3"/>
  <c r="AW15" i="3" s="1"/>
  <c r="AW13" i="3"/>
  <c r="AW11" i="3"/>
  <c r="AP21" i="3"/>
  <c r="AP13" i="3"/>
  <c r="AN11" i="3"/>
  <c r="AI18" i="3"/>
  <c r="AI13" i="3"/>
  <c r="AG11" i="3"/>
  <c r="AI11" i="3" s="1"/>
  <c r="AB18" i="3"/>
  <c r="AB13" i="3"/>
  <c r="AB12" i="3"/>
  <c r="U18" i="3"/>
  <c r="U14" i="3"/>
  <c r="U13" i="3"/>
  <c r="U12" i="3"/>
  <c r="N16" i="3"/>
  <c r="N21" i="3"/>
  <c r="N14" i="3"/>
  <c r="N13" i="3"/>
  <c r="N12" i="3"/>
  <c r="G14" i="3"/>
  <c r="G13" i="3"/>
  <c r="G12" i="3"/>
  <c r="AN31" i="3"/>
  <c r="AP31" i="3" s="1"/>
  <c r="F7" i="13" s="1"/>
  <c r="AG32" i="3"/>
  <c r="AG31" i="3" s="1"/>
  <c r="Z31" i="3"/>
  <c r="S32" i="3"/>
  <c r="L31" i="3"/>
  <c r="E31" i="3"/>
  <c r="U76" i="3"/>
  <c r="M5" i="6" s="1"/>
  <c r="N71" i="3"/>
  <c r="M5" i="5" s="1"/>
  <c r="AB33" i="3"/>
  <c r="Z15" i="3"/>
  <c r="G33" i="3"/>
  <c r="AA41" i="4" s="1"/>
  <c r="C10" i="13"/>
  <c r="AB76" i="3"/>
  <c r="M5" i="7"/>
  <c r="AC19" i="7"/>
  <c r="AU15" i="3"/>
  <c r="AN26" i="3"/>
  <c r="Z27" i="3"/>
  <c r="S27" i="3"/>
  <c r="AN15" i="3"/>
  <c r="AG26" i="3"/>
  <c r="AG15" i="3"/>
  <c r="L28" i="3"/>
  <c r="L26" i="3"/>
  <c r="E11" i="3"/>
  <c r="J10" i="13"/>
  <c r="AW32" i="3"/>
  <c r="J8" i="13"/>
  <c r="AW31" i="3"/>
  <c r="J7" i="13"/>
  <c r="AB31" i="3"/>
  <c r="I7" i="13"/>
  <c r="Z11" i="3"/>
  <c r="Z22" i="3" s="1"/>
  <c r="Z23" i="3" s="1"/>
  <c r="AB11" i="3"/>
  <c r="U33" i="3"/>
  <c r="G10" i="13" s="1"/>
  <c r="S11" i="3"/>
  <c r="U11" i="3" s="1"/>
  <c r="S15" i="3"/>
  <c r="AP33" i="3"/>
  <c r="F10" i="13" s="1"/>
  <c r="AI33" i="3"/>
  <c r="E10" i="13" s="1"/>
  <c r="AI32" i="3"/>
  <c r="E8" i="13" s="1"/>
  <c r="AI31" i="3"/>
  <c r="E7" i="13" s="1"/>
  <c r="N33" i="3"/>
  <c r="AB41" i="5" s="1"/>
  <c r="N31" i="3"/>
  <c r="D7" i="13" s="1"/>
  <c r="L11" i="3"/>
  <c r="N11" i="3" s="1"/>
  <c r="L15" i="3"/>
  <c r="E6" i="13"/>
  <c r="F6" i="13"/>
  <c r="G6" i="13"/>
  <c r="J6" i="13"/>
  <c r="D6" i="13"/>
  <c r="G32" i="3"/>
  <c r="C8" i="13" s="1"/>
  <c r="G31" i="3"/>
  <c r="C7" i="13" s="1"/>
  <c r="C6" i="13"/>
  <c r="E15" i="3"/>
  <c r="G26" i="3"/>
  <c r="E5" i="4" s="1"/>
  <c r="G74" i="3"/>
  <c r="G52" i="3"/>
  <c r="G49" i="3"/>
  <c r="G50" i="3"/>
  <c r="G51" i="3"/>
  <c r="G54" i="3"/>
  <c r="G55" i="3"/>
  <c r="G56" i="3"/>
  <c r="G57" i="3"/>
  <c r="G48" i="3"/>
  <c r="G53" i="3"/>
  <c r="G81" i="3"/>
  <c r="R10" i="4" s="1"/>
  <c r="G72" i="3"/>
  <c r="M6" i="4" s="1"/>
  <c r="G78" i="3"/>
  <c r="N9" i="4" s="1"/>
  <c r="G79" i="3"/>
  <c r="N10" i="4" s="1"/>
  <c r="G80" i="3"/>
  <c r="N11" i="4" s="1"/>
  <c r="N26" i="3"/>
  <c r="E5" i="5" s="1"/>
  <c r="N72" i="3"/>
  <c r="M6" i="5" s="1"/>
  <c r="N78" i="3"/>
  <c r="N9" i="5" s="1"/>
  <c r="N79" i="3"/>
  <c r="N10" i="5" s="1"/>
  <c r="N80" i="3"/>
  <c r="N11" i="5" s="1"/>
  <c r="N74" i="3"/>
  <c r="N49" i="3"/>
  <c r="N50" i="3"/>
  <c r="N51" i="3"/>
  <c r="N54" i="3"/>
  <c r="N55" i="3"/>
  <c r="N56" i="3"/>
  <c r="N57" i="3"/>
  <c r="N48" i="3"/>
  <c r="N60" i="3" s="1"/>
  <c r="I5" i="5" s="1"/>
  <c r="N52" i="3"/>
  <c r="N53" i="3"/>
  <c r="N81" i="3"/>
  <c r="R10" i="5" s="1"/>
  <c r="U40" i="3"/>
  <c r="X123" i="3"/>
  <c r="AB40" i="3"/>
  <c r="X130" i="3"/>
  <c r="X128" i="3"/>
  <c r="AI19" i="7" s="1"/>
  <c r="AI22" i="7" s="1"/>
  <c r="X126" i="3"/>
  <c r="AG19" i="7" s="1"/>
  <c r="AG22" i="7" s="1"/>
  <c r="X124" i="3"/>
  <c r="AI49" i="3"/>
  <c r="AI50" i="3"/>
  <c r="AI51" i="3"/>
  <c r="AI52" i="3"/>
  <c r="AI54" i="3"/>
  <c r="AI55" i="3"/>
  <c r="AI56" i="3"/>
  <c r="AI57" i="3"/>
  <c r="AI48" i="3"/>
  <c r="AI53" i="3"/>
  <c r="AI71" i="3"/>
  <c r="M5" i="8"/>
  <c r="AI26" i="3"/>
  <c r="E5" i="8"/>
  <c r="AI78" i="3"/>
  <c r="N9" i="8"/>
  <c r="AI79" i="3"/>
  <c r="N10" i="8"/>
  <c r="AI80" i="3"/>
  <c r="N11" i="8"/>
  <c r="AI81" i="3"/>
  <c r="R10" i="8"/>
  <c r="AW71" i="3"/>
  <c r="M5" i="10"/>
  <c r="AW78" i="3"/>
  <c r="N9" i="10"/>
  <c r="AW79" i="3"/>
  <c r="N10" i="10"/>
  <c r="AW80" i="3"/>
  <c r="N11" i="10"/>
  <c r="AW52" i="3"/>
  <c r="AW49" i="3"/>
  <c r="AW50" i="3"/>
  <c r="AW51" i="3"/>
  <c r="AW54" i="3"/>
  <c r="AW55" i="3"/>
  <c r="AW56" i="3"/>
  <c r="AW57" i="3"/>
  <c r="AW48" i="3"/>
  <c r="AW53" i="3"/>
  <c r="AW81" i="3"/>
  <c r="R10" i="10" s="1"/>
  <c r="AM24" i="10"/>
  <c r="AM22" i="10"/>
  <c r="AS120" i="3"/>
  <c r="AA19" i="10" s="1"/>
  <c r="AS119" i="3"/>
  <c r="Z19" i="10" s="1"/>
  <c r="AS116" i="3"/>
  <c r="W19" i="10" s="1"/>
  <c r="AS114" i="3"/>
  <c r="U19" i="10" s="1"/>
  <c r="AS113" i="3"/>
  <c r="T19" i="10" s="1"/>
  <c r="AS110" i="3"/>
  <c r="Q19" i="10" s="1"/>
  <c r="AS109" i="3"/>
  <c r="P19" i="10" s="1"/>
  <c r="AS108" i="3"/>
  <c r="O19" i="10" s="1"/>
  <c r="AS107" i="3"/>
  <c r="N19" i="10" s="1"/>
  <c r="AS106" i="3"/>
  <c r="M19" i="10" s="1"/>
  <c r="AS105" i="3"/>
  <c r="L19" i="10" s="1"/>
  <c r="AS104" i="3"/>
  <c r="K19" i="10" s="1"/>
  <c r="AS103" i="3"/>
  <c r="AS102" i="3"/>
  <c r="I19" i="10" s="1"/>
  <c r="AM23" i="9"/>
  <c r="AM22" i="9"/>
  <c r="AP78" i="3"/>
  <c r="N9" i="9" s="1"/>
  <c r="AP79" i="3"/>
  <c r="N10" i="9"/>
  <c r="AP80" i="3"/>
  <c r="N11" i="9" s="1"/>
  <c r="AP71" i="3"/>
  <c r="M5" i="9" s="1"/>
  <c r="AP26" i="3"/>
  <c r="E5" i="9" s="1"/>
  <c r="AM24" i="9"/>
  <c r="AP49" i="3"/>
  <c r="AP50" i="3"/>
  <c r="AP51" i="3"/>
  <c r="AP54" i="3"/>
  <c r="AP55" i="3"/>
  <c r="AP56" i="3"/>
  <c r="AP57" i="3"/>
  <c r="AP52" i="3"/>
  <c r="AP48" i="3"/>
  <c r="AP53" i="3"/>
  <c r="AP81" i="3"/>
  <c r="R10" i="9" s="1"/>
  <c r="AL121" i="3"/>
  <c r="AB19" i="9" s="1"/>
  <c r="AL120" i="3"/>
  <c r="AA19" i="9" s="1"/>
  <c r="AL119" i="3"/>
  <c r="Z19" i="9" s="1"/>
  <c r="AL118" i="3"/>
  <c r="Y19" i="9" s="1"/>
  <c r="AL117" i="3"/>
  <c r="X19" i="9" s="1"/>
  <c r="AL116" i="3"/>
  <c r="W19" i="9" s="1"/>
  <c r="AL115" i="3"/>
  <c r="V19" i="9" s="1"/>
  <c r="AL114" i="3"/>
  <c r="U19" i="9" s="1"/>
  <c r="AL113" i="3"/>
  <c r="T19" i="9" s="1"/>
  <c r="AL112" i="3"/>
  <c r="S19" i="9" s="1"/>
  <c r="AL111" i="3"/>
  <c r="R19" i="9" s="1"/>
  <c r="AL110" i="3"/>
  <c r="Q19" i="9" s="1"/>
  <c r="AL109" i="3"/>
  <c r="P19" i="9" s="1"/>
  <c r="AL108" i="3"/>
  <c r="O19" i="9" s="1"/>
  <c r="AL107" i="3"/>
  <c r="N19" i="9" s="1"/>
  <c r="AL106" i="3"/>
  <c r="M19" i="9" s="1"/>
  <c r="AL105" i="3"/>
  <c r="L19" i="9" s="1"/>
  <c r="AL104" i="3"/>
  <c r="K19" i="9" s="1"/>
  <c r="AL103" i="3"/>
  <c r="J19" i="9" s="1"/>
  <c r="AL102" i="3"/>
  <c r="AM102" i="3" s="1"/>
  <c r="I18" i="9" s="1"/>
  <c r="H18" i="9" s="1"/>
  <c r="G18" i="9" s="1"/>
  <c r="F18" i="9" s="1"/>
  <c r="AE120" i="3"/>
  <c r="AA19" i="8" s="1"/>
  <c r="AE118" i="3"/>
  <c r="Y19" i="8" s="1"/>
  <c r="AE116" i="3"/>
  <c r="W19" i="8" s="1"/>
  <c r="AE114" i="3"/>
  <c r="U19" i="8" s="1"/>
  <c r="AE112" i="3"/>
  <c r="S19" i="8" s="1"/>
  <c r="AE110" i="3"/>
  <c r="Q19" i="8" s="1"/>
  <c r="AE108" i="3"/>
  <c r="O19" i="8" s="1"/>
  <c r="AE106" i="3"/>
  <c r="M19" i="8" s="1"/>
  <c r="AE104" i="3"/>
  <c r="K19" i="8" s="1"/>
  <c r="AE102" i="3"/>
  <c r="AM22" i="8"/>
  <c r="AC23" i="7"/>
  <c r="AC24" i="7"/>
  <c r="AB27" i="3"/>
  <c r="E5" i="7" s="1"/>
  <c r="AB78" i="3"/>
  <c r="N9" i="7"/>
  <c r="AB79" i="3"/>
  <c r="N10" i="7" s="1"/>
  <c r="AB80" i="3"/>
  <c r="N11" i="7" s="1"/>
  <c r="N12" i="7" s="1"/>
  <c r="AB49" i="3"/>
  <c r="AB50" i="3"/>
  <c r="AB51" i="3"/>
  <c r="AB52" i="3"/>
  <c r="AB54" i="3"/>
  <c r="AB55" i="3"/>
  <c r="AB56" i="3"/>
  <c r="AB57" i="3"/>
  <c r="AB48" i="3"/>
  <c r="AB53" i="3"/>
  <c r="AB81" i="3"/>
  <c r="R10" i="7" s="1"/>
  <c r="AG23" i="7"/>
  <c r="AG24" i="7"/>
  <c r="AG27" i="7"/>
  <c r="AG29" i="7"/>
  <c r="AG30" i="7"/>
  <c r="AG31" i="7"/>
  <c r="AG33" i="7"/>
  <c r="X127" i="3"/>
  <c r="Y127" i="3" s="1"/>
  <c r="AH18" i="7" s="1"/>
  <c r="AH23" i="7"/>
  <c r="AH24" i="7"/>
  <c r="AH27" i="7"/>
  <c r="AH29" i="7"/>
  <c r="AH30" i="7"/>
  <c r="AH31" i="7"/>
  <c r="AH33" i="7"/>
  <c r="AI23" i="7"/>
  <c r="AI24" i="7"/>
  <c r="AI27" i="7"/>
  <c r="AI29" i="7"/>
  <c r="AI30" i="7"/>
  <c r="AI31" i="7"/>
  <c r="AI33" i="7"/>
  <c r="X132" i="3"/>
  <c r="Y132" i="3" s="1"/>
  <c r="AM18" i="7" s="1"/>
  <c r="AM27" i="7"/>
  <c r="AM29" i="7"/>
  <c r="AM30" i="7"/>
  <c r="AM31" i="7"/>
  <c r="AM33" i="7"/>
  <c r="AG41" i="7"/>
  <c r="AM22" i="7"/>
  <c r="AM23" i="7"/>
  <c r="AM24" i="7"/>
  <c r="AI41" i="7"/>
  <c r="AG38" i="7"/>
  <c r="AI38" i="7"/>
  <c r="X104" i="3"/>
  <c r="X103" i="3"/>
  <c r="J19" i="7" s="1"/>
  <c r="X102" i="3"/>
  <c r="X121" i="3"/>
  <c r="AB19" i="7" s="1"/>
  <c r="X120" i="3"/>
  <c r="AA19" i="7" s="1"/>
  <c r="X119" i="3"/>
  <c r="Z19" i="7"/>
  <c r="X118" i="3"/>
  <c r="Y19" i="7" s="1"/>
  <c r="X117" i="3"/>
  <c r="X19" i="7" s="1"/>
  <c r="X116" i="3"/>
  <c r="W19" i="7" s="1"/>
  <c r="X115" i="3"/>
  <c r="V19" i="7"/>
  <c r="X114" i="3"/>
  <c r="U19" i="7" s="1"/>
  <c r="X113" i="3"/>
  <c r="T19" i="7" s="1"/>
  <c r="X112" i="3"/>
  <c r="S19" i="7" s="1"/>
  <c r="X111" i="3"/>
  <c r="R19" i="7"/>
  <c r="X110" i="3"/>
  <c r="Q19" i="7" s="1"/>
  <c r="X109" i="3"/>
  <c r="P19" i="7" s="1"/>
  <c r="X108" i="3"/>
  <c r="O19" i="7" s="1"/>
  <c r="X107" i="3"/>
  <c r="N19" i="7"/>
  <c r="X106" i="3"/>
  <c r="M19" i="7" s="1"/>
  <c r="X105" i="3"/>
  <c r="L19" i="7" s="1"/>
  <c r="K19" i="7"/>
  <c r="Y126" i="3"/>
  <c r="AG18" i="7" s="1"/>
  <c r="Y128" i="3"/>
  <c r="AI18" i="7" s="1"/>
  <c r="U27" i="3"/>
  <c r="E5" i="6" s="1"/>
  <c r="U78" i="3"/>
  <c r="N9" i="6" s="1"/>
  <c r="U79" i="3"/>
  <c r="N10" i="6" s="1"/>
  <c r="U80" i="3"/>
  <c r="N11" i="6" s="1"/>
  <c r="U49" i="3"/>
  <c r="U50" i="3"/>
  <c r="U51" i="3"/>
  <c r="U52" i="3"/>
  <c r="U54" i="3"/>
  <c r="U55" i="3"/>
  <c r="U56" i="3"/>
  <c r="U57" i="3"/>
  <c r="U48" i="3"/>
  <c r="U53" i="3"/>
  <c r="U81" i="3"/>
  <c r="R10" i="6" s="1"/>
  <c r="AM24" i="6"/>
  <c r="J102" i="3"/>
  <c r="AM22" i="6"/>
  <c r="J120" i="3"/>
  <c r="AA19" i="5" s="1"/>
  <c r="J118" i="3"/>
  <c r="Y19" i="5" s="1"/>
  <c r="J116" i="3"/>
  <c r="W19" i="5" s="1"/>
  <c r="J114" i="3"/>
  <c r="U19" i="5" s="1"/>
  <c r="J112" i="3"/>
  <c r="S19" i="5" s="1"/>
  <c r="J110" i="3"/>
  <c r="Q19" i="5" s="1"/>
  <c r="J108" i="3"/>
  <c r="O19" i="5" s="1"/>
  <c r="J106" i="3"/>
  <c r="M19" i="5" s="1"/>
  <c r="J104" i="3"/>
  <c r="AW83" i="3"/>
  <c r="P13" i="10" s="1"/>
  <c r="K14" i="10"/>
  <c r="AW47" i="3"/>
  <c r="AX48" i="3" s="1"/>
  <c r="G13" i="10"/>
  <c r="B10" i="10"/>
  <c r="C120" i="3"/>
  <c r="AA19" i="4" s="1"/>
  <c r="C119" i="3"/>
  <c r="C118" i="3"/>
  <c r="Y19" i="4" s="1"/>
  <c r="C117" i="3"/>
  <c r="X19" i="4" s="1"/>
  <c r="C116" i="3"/>
  <c r="W19" i="4" s="1"/>
  <c r="C115" i="3"/>
  <c r="C114" i="3"/>
  <c r="U19" i="4" s="1"/>
  <c r="C113" i="3"/>
  <c r="T19" i="4" s="1"/>
  <c r="C112" i="3"/>
  <c r="S19" i="4" s="1"/>
  <c r="C111" i="3"/>
  <c r="C110" i="3"/>
  <c r="Q19" i="4" s="1"/>
  <c r="C109" i="3"/>
  <c r="P19" i="4" s="1"/>
  <c r="C108" i="3"/>
  <c r="O19" i="4" s="1"/>
  <c r="C107" i="3"/>
  <c r="C106" i="3"/>
  <c r="M19" i="4" s="1"/>
  <c r="C105" i="3"/>
  <c r="L19" i="4" s="1"/>
  <c r="C104" i="3"/>
  <c r="K19" i="4" s="1"/>
  <c r="C103" i="3"/>
  <c r="AM26" i="5"/>
  <c r="AX84" i="3"/>
  <c r="AX71" i="3"/>
  <c r="AU60" i="3"/>
  <c r="AW34" i="3"/>
  <c r="AW28" i="3"/>
  <c r="AW14" i="3"/>
  <c r="AW10" i="3"/>
  <c r="AX11" i="3"/>
  <c r="N83" i="3"/>
  <c r="O84" i="3" s="1"/>
  <c r="P13" i="5"/>
  <c r="N47" i="3"/>
  <c r="U47" i="3"/>
  <c r="G13" i="6" s="1"/>
  <c r="U83" i="3"/>
  <c r="AB83" i="3"/>
  <c r="P13" i="7" s="1"/>
  <c r="AB47" i="3"/>
  <c r="AI47" i="3"/>
  <c r="AI83" i="3"/>
  <c r="AJ84" i="3" s="1"/>
  <c r="AP83" i="3"/>
  <c r="AQ84" i="3" s="1"/>
  <c r="P13" i="9"/>
  <c r="AP47" i="3"/>
  <c r="AP10" i="3"/>
  <c r="AQ11" i="3" s="1"/>
  <c r="AI10" i="3"/>
  <c r="AJ11" i="3" s="1"/>
  <c r="AB10" i="3"/>
  <c r="AC11" i="3" s="1"/>
  <c r="N10" i="3"/>
  <c r="U10" i="3"/>
  <c r="V11" i="3" s="1"/>
  <c r="AQ71" i="3"/>
  <c r="AJ71" i="3"/>
  <c r="AC71" i="3"/>
  <c r="V71" i="3"/>
  <c r="O71" i="3"/>
  <c r="G83" i="3"/>
  <c r="P13" i="4" s="1"/>
  <c r="AQ48" i="3"/>
  <c r="AC48" i="3"/>
  <c r="V48" i="3"/>
  <c r="O48" i="3"/>
  <c r="G47" i="3"/>
  <c r="H48" i="3" s="1"/>
  <c r="O11" i="3"/>
  <c r="G10" i="3"/>
  <c r="J19" i="4"/>
  <c r="N19" i="4"/>
  <c r="Z19" i="4"/>
  <c r="V19" i="4"/>
  <c r="R19" i="4"/>
  <c r="K14" i="9"/>
  <c r="G13" i="9"/>
  <c r="B10" i="9"/>
  <c r="K14" i="8"/>
  <c r="B10" i="8"/>
  <c r="K14" i="7"/>
  <c r="G13" i="7"/>
  <c r="B10" i="7"/>
  <c r="K14" i="6"/>
  <c r="B10" i="6"/>
  <c r="K14" i="5"/>
  <c r="G13" i="5"/>
  <c r="B10" i="5"/>
  <c r="K14" i="4"/>
  <c r="AP14" i="3"/>
  <c r="AP18" i="3"/>
  <c r="AP15" i="3" s="1"/>
  <c r="AI14" i="3"/>
  <c r="AI19" i="3"/>
  <c r="AI20" i="3"/>
  <c r="AI21" i="3"/>
  <c r="AB14" i="3"/>
  <c r="AB20" i="3"/>
  <c r="AB21" i="3"/>
  <c r="U19" i="3"/>
  <c r="U20" i="3"/>
  <c r="U21" i="3"/>
  <c r="N17" i="3"/>
  <c r="N18" i="3"/>
  <c r="N19" i="3"/>
  <c r="G18" i="3"/>
  <c r="G19" i="3"/>
  <c r="G20" i="3"/>
  <c r="G21" i="3"/>
  <c r="AN60" i="3"/>
  <c r="AG60" i="3"/>
  <c r="Z60" i="3"/>
  <c r="AP34" i="3"/>
  <c r="AI34" i="3"/>
  <c r="AB34" i="3"/>
  <c r="AP32" i="3"/>
  <c r="AB32" i="3"/>
  <c r="S60" i="3"/>
  <c r="U34" i="3"/>
  <c r="L60" i="3"/>
  <c r="N34" i="3"/>
  <c r="N32" i="3"/>
  <c r="N28" i="3"/>
  <c r="G34" i="3"/>
  <c r="G28" i="3"/>
  <c r="G27" i="3"/>
  <c r="E60" i="3"/>
  <c r="B134" i="3"/>
  <c r="B133" i="3"/>
  <c r="B2" i="2"/>
  <c r="AH36" i="4"/>
  <c r="AC36" i="4"/>
  <c r="I36" i="4"/>
  <c r="AA36" i="4"/>
  <c r="Z36" i="4"/>
  <c r="Y36" i="4"/>
  <c r="X36" i="4"/>
  <c r="W36" i="4"/>
  <c r="V36" i="4"/>
  <c r="U36" i="4"/>
  <c r="T36" i="4"/>
  <c r="S36" i="4"/>
  <c r="R36" i="4"/>
  <c r="Q36" i="4"/>
  <c r="P36" i="4"/>
  <c r="O36" i="4"/>
  <c r="N36" i="4"/>
  <c r="M36" i="4"/>
  <c r="L36" i="4"/>
  <c r="K36" i="4"/>
  <c r="J36" i="4"/>
  <c r="AA33" i="4"/>
  <c r="Z33" i="4"/>
  <c r="X33" i="4"/>
  <c r="U33" i="4"/>
  <c r="T33" i="4"/>
  <c r="S33" i="4"/>
  <c r="R33" i="4"/>
  <c r="P33" i="4"/>
  <c r="M33" i="4"/>
  <c r="L33" i="4"/>
  <c r="K33" i="4"/>
  <c r="J33" i="4"/>
  <c r="N12" i="4"/>
  <c r="V29" i="8"/>
  <c r="AI32" i="7"/>
  <c r="AI37" i="7"/>
  <c r="AI40" i="7"/>
  <c r="AI34" i="7"/>
  <c r="Z38" i="5"/>
  <c r="X38" i="5"/>
  <c r="V38" i="5"/>
  <c r="T38" i="5"/>
  <c r="R38" i="5"/>
  <c r="P38" i="5"/>
  <c r="N38" i="5"/>
  <c r="L38" i="5"/>
  <c r="J38" i="5"/>
  <c r="AA38" i="5"/>
  <c r="Y38" i="5"/>
  <c r="W38" i="5"/>
  <c r="U38" i="5"/>
  <c r="S38" i="5"/>
  <c r="Q38" i="5"/>
  <c r="O38" i="5"/>
  <c r="M38" i="5"/>
  <c r="K38" i="5"/>
  <c r="I38" i="5"/>
  <c r="I36" i="5"/>
  <c r="J36" i="5"/>
  <c r="K36" i="5"/>
  <c r="L36" i="5"/>
  <c r="M36" i="5"/>
  <c r="N36" i="5"/>
  <c r="O36" i="5"/>
  <c r="P36" i="5"/>
  <c r="Q36" i="5"/>
  <c r="R36" i="5"/>
  <c r="S36" i="5"/>
  <c r="T36" i="5"/>
  <c r="U36" i="5"/>
  <c r="V36" i="5"/>
  <c r="W36" i="5"/>
  <c r="X36" i="5"/>
  <c r="Y36" i="5"/>
  <c r="Z38" i="4"/>
  <c r="X38" i="4"/>
  <c r="V38" i="4"/>
  <c r="T38" i="4"/>
  <c r="R38" i="4"/>
  <c r="P38" i="4"/>
  <c r="N38" i="4"/>
  <c r="L38" i="4"/>
  <c r="K38" i="4"/>
  <c r="AA38" i="4"/>
  <c r="Y38" i="4"/>
  <c r="W38" i="4"/>
  <c r="U38" i="4"/>
  <c r="S38" i="4"/>
  <c r="Q38" i="4"/>
  <c r="O38" i="4"/>
  <c r="M38" i="4"/>
  <c r="J38" i="4"/>
  <c r="Z29" i="7"/>
  <c r="X29" i="7"/>
  <c r="V29" i="7"/>
  <c r="T29" i="7"/>
  <c r="R29" i="7"/>
  <c r="P29" i="7"/>
  <c r="N29" i="7"/>
  <c r="L29" i="7"/>
  <c r="J29" i="7"/>
  <c r="AB29" i="7"/>
  <c r="AA29" i="7"/>
  <c r="Y29" i="7"/>
  <c r="W29" i="7"/>
  <c r="U29" i="7"/>
  <c r="S29" i="7"/>
  <c r="Q29" i="7"/>
  <c r="O29" i="7"/>
  <c r="M29" i="7"/>
  <c r="K29" i="7"/>
  <c r="I29" i="7"/>
  <c r="I35" i="5"/>
  <c r="K35" i="5"/>
  <c r="L35" i="5"/>
  <c r="M35" i="5"/>
  <c r="N35" i="5"/>
  <c r="Q35" i="5"/>
  <c r="S35" i="5"/>
  <c r="T35" i="5"/>
  <c r="U35" i="5"/>
  <c r="V35" i="5"/>
  <c r="Y35" i="5"/>
  <c r="AA35" i="5"/>
  <c r="AB30" i="7"/>
  <c r="AA30" i="7"/>
  <c r="Y30" i="7"/>
  <c r="W30" i="7"/>
  <c r="U30" i="7"/>
  <c r="S30" i="7"/>
  <c r="Q30" i="7"/>
  <c r="O30" i="7"/>
  <c r="M30" i="7"/>
  <c r="K30" i="7"/>
  <c r="I30" i="7"/>
  <c r="Z30" i="7"/>
  <c r="X30" i="7"/>
  <c r="V30" i="7"/>
  <c r="T30" i="7"/>
  <c r="R30" i="7"/>
  <c r="P30" i="7"/>
  <c r="N30" i="7"/>
  <c r="L30" i="7"/>
  <c r="J30" i="7"/>
  <c r="N12" i="8"/>
  <c r="AH31" i="8" s="1"/>
  <c r="L22" i="3"/>
  <c r="D10" i="13"/>
  <c r="S22" i="3"/>
  <c r="AB22" i="3"/>
  <c r="AH40" i="5"/>
  <c r="AH36" i="5"/>
  <c r="I10" i="5"/>
  <c r="AC36" i="5"/>
  <c r="AB35" i="5"/>
  <c r="AA36" i="5"/>
  <c r="Z36" i="5"/>
  <c r="AG32" i="7"/>
  <c r="AG40" i="7"/>
  <c r="AG37" i="7"/>
  <c r="AG34" i="7"/>
  <c r="I40" i="5"/>
  <c r="J40" i="5"/>
  <c r="K40" i="5"/>
  <c r="L40" i="5"/>
  <c r="M40" i="5"/>
  <c r="N40" i="5"/>
  <c r="O40" i="5"/>
  <c r="P40" i="5"/>
  <c r="Q40" i="5"/>
  <c r="R40" i="5"/>
  <c r="S40" i="5"/>
  <c r="T40" i="5"/>
  <c r="U40" i="5"/>
  <c r="V40" i="5"/>
  <c r="W40" i="5"/>
  <c r="X40" i="5"/>
  <c r="I41" i="5"/>
  <c r="K41" i="5"/>
  <c r="L41" i="5"/>
  <c r="M41" i="5"/>
  <c r="N41" i="5"/>
  <c r="Q41" i="5"/>
  <c r="S41" i="5"/>
  <c r="T41" i="5"/>
  <c r="U41" i="5"/>
  <c r="V41" i="5"/>
  <c r="Y41" i="5"/>
  <c r="AA41" i="5"/>
  <c r="AB35" i="8"/>
  <c r="Z35" i="8"/>
  <c r="W35" i="8"/>
  <c r="V35" i="8"/>
  <c r="U35" i="8"/>
  <c r="T35" i="8"/>
  <c r="R35" i="8"/>
  <c r="O35" i="8"/>
  <c r="N35" i="8"/>
  <c r="M35" i="8"/>
  <c r="L35" i="8"/>
  <c r="J35" i="8"/>
  <c r="AA35" i="9"/>
  <c r="Z35" i="9"/>
  <c r="Y35" i="9"/>
  <c r="V35" i="9"/>
  <c r="S35" i="9"/>
  <c r="R35" i="9"/>
  <c r="Q35" i="9"/>
  <c r="P35" i="9"/>
  <c r="N35" i="9"/>
  <c r="M35" i="9"/>
  <c r="J35" i="9"/>
  <c r="I35" i="9"/>
  <c r="J34" i="6"/>
  <c r="K34" i="6"/>
  <c r="M34" i="6"/>
  <c r="N34" i="6"/>
  <c r="P34" i="6"/>
  <c r="Q34" i="6"/>
  <c r="R34" i="6"/>
  <c r="S34" i="6"/>
  <c r="T34" i="6"/>
  <c r="U34" i="6"/>
  <c r="V34" i="6"/>
  <c r="W34" i="6"/>
  <c r="X34" i="6"/>
  <c r="Y34" i="6"/>
  <c r="Z34" i="6"/>
  <c r="AA34" i="6"/>
  <c r="AB34" i="6"/>
  <c r="I10" i="13"/>
  <c r="AB34" i="7"/>
  <c r="Z34" i="7"/>
  <c r="X34" i="7"/>
  <c r="V34" i="7"/>
  <c r="T34" i="7"/>
  <c r="R34" i="7"/>
  <c r="P34" i="7"/>
  <c r="N34" i="7"/>
  <c r="L34" i="7"/>
  <c r="J34" i="7"/>
  <c r="AA34" i="7"/>
  <c r="Y34" i="7"/>
  <c r="W34" i="7"/>
  <c r="U34" i="7"/>
  <c r="S34" i="7"/>
  <c r="Q34" i="7"/>
  <c r="O34" i="7"/>
  <c r="M34" i="7"/>
  <c r="K34" i="7"/>
  <c r="I34" i="7"/>
  <c r="AB39" i="5"/>
  <c r="AB38" i="5"/>
  <c r="AH22" i="8"/>
  <c r="AH24" i="8" s="1"/>
  <c r="AC22" i="8"/>
  <c r="AM33" i="8"/>
  <c r="AH23" i="8"/>
  <c r="AH32" i="8"/>
  <c r="AC23" i="8"/>
  <c r="AM32" i="8"/>
  <c r="AE122" i="3"/>
  <c r="AC30" i="8"/>
  <c r="AE124" i="3"/>
  <c r="AE125" i="3"/>
  <c r="AE126" i="3"/>
  <c r="AE127" i="3"/>
  <c r="AH30" i="8"/>
  <c r="AM29" i="8"/>
  <c r="AM31" i="8"/>
  <c r="AM35" i="8"/>
  <c r="AE123" i="3"/>
  <c r="AC31" i="8"/>
  <c r="AE128" i="3"/>
  <c r="AE129" i="3"/>
  <c r="AE130" i="3"/>
  <c r="AE131" i="3"/>
  <c r="AE132" i="3"/>
  <c r="AM27" i="8"/>
  <c r="AM30" i="8"/>
  <c r="AM34" i="8"/>
  <c r="G13" i="4"/>
  <c r="AM103" i="3"/>
  <c r="N12" i="5"/>
  <c r="J41" i="4"/>
  <c r="K41" i="4"/>
  <c r="L41" i="4"/>
  <c r="M41" i="4"/>
  <c r="P41" i="4"/>
  <c r="R41" i="4"/>
  <c r="S41" i="4"/>
  <c r="T41" i="4"/>
  <c r="U41" i="4"/>
  <c r="X41" i="4"/>
  <c r="Z41" i="4"/>
  <c r="AB40" i="5"/>
  <c r="AB36" i="5"/>
  <c r="AA40" i="5"/>
  <c r="Z40" i="5"/>
  <c r="Y40" i="5"/>
  <c r="J39" i="4"/>
  <c r="J28" i="4"/>
  <c r="K39" i="4"/>
  <c r="K28" i="4"/>
  <c r="L39" i="4"/>
  <c r="L28" i="4"/>
  <c r="M39" i="4"/>
  <c r="M28" i="4"/>
  <c r="P39" i="4"/>
  <c r="P28" i="4"/>
  <c r="R39" i="4"/>
  <c r="R28" i="4"/>
  <c r="S39" i="4"/>
  <c r="S28" i="4"/>
  <c r="T39" i="4"/>
  <c r="T28" i="4"/>
  <c r="U39" i="4"/>
  <c r="U28" i="4"/>
  <c r="X39" i="4"/>
  <c r="X28" i="4"/>
  <c r="Z39" i="4"/>
  <c r="Z28" i="4"/>
  <c r="AA39" i="4"/>
  <c r="AA28" i="4"/>
  <c r="I39" i="5"/>
  <c r="I28" i="5"/>
  <c r="I33" i="5"/>
  <c r="K39" i="5"/>
  <c r="L39" i="5"/>
  <c r="M39" i="5"/>
  <c r="M28" i="5"/>
  <c r="M33" i="5"/>
  <c r="N39" i="5"/>
  <c r="Q39" i="5"/>
  <c r="Q28" i="5"/>
  <c r="Q33" i="5"/>
  <c r="S39" i="5"/>
  <c r="T39" i="5"/>
  <c r="U39" i="5"/>
  <c r="U28" i="5"/>
  <c r="U33" i="5"/>
  <c r="V39" i="5"/>
  <c r="Y39" i="5"/>
  <c r="Y28" i="5"/>
  <c r="Y33" i="5"/>
  <c r="AA39" i="5"/>
  <c r="AH34" i="7"/>
  <c r="AC33" i="7"/>
  <c r="AH22" i="5"/>
  <c r="AH26" i="5" s="1"/>
  <c r="AC22" i="5"/>
  <c r="AM33" i="5"/>
  <c r="AC23" i="5"/>
  <c r="AH23" i="5"/>
  <c r="AM28" i="5"/>
  <c r="AM39" i="5"/>
  <c r="AH24" i="5"/>
  <c r="AH38" i="5" s="1"/>
  <c r="AC24" i="5"/>
  <c r="AM38" i="5"/>
  <c r="AC25" i="5"/>
  <c r="AH25" i="5"/>
  <c r="AM32" i="7"/>
  <c r="AC32" i="7"/>
  <c r="AH32" i="7"/>
  <c r="AB32" i="7"/>
  <c r="Z32" i="7"/>
  <c r="X32" i="7"/>
  <c r="V32" i="7"/>
  <c r="T32" i="7"/>
  <c r="R32" i="7"/>
  <c r="P32" i="7"/>
  <c r="N32" i="7"/>
  <c r="L32" i="7"/>
  <c r="J32" i="7"/>
  <c r="Z32" i="8"/>
  <c r="X32" i="8"/>
  <c r="V32" i="8"/>
  <c r="T32" i="8"/>
  <c r="R32" i="8"/>
  <c r="P32" i="8"/>
  <c r="N32" i="8"/>
  <c r="L32" i="8"/>
  <c r="J32" i="8"/>
  <c r="AA32" i="8"/>
  <c r="Y32" i="8"/>
  <c r="W32" i="8"/>
  <c r="U32" i="8"/>
  <c r="S32" i="8"/>
  <c r="Q32" i="8"/>
  <c r="O32" i="8"/>
  <c r="M32" i="8"/>
  <c r="K32" i="8"/>
  <c r="I32" i="8"/>
  <c r="AB30" i="9"/>
  <c r="AA30" i="9"/>
  <c r="Z30" i="9"/>
  <c r="Y30" i="9"/>
  <c r="X30" i="9"/>
  <c r="W30" i="9"/>
  <c r="V30" i="9"/>
  <c r="U30" i="9"/>
  <c r="T30" i="9"/>
  <c r="S30" i="9"/>
  <c r="R30" i="9"/>
  <c r="Q30" i="9"/>
  <c r="P30" i="9"/>
  <c r="O30" i="9"/>
  <c r="N30" i="9"/>
  <c r="M30" i="9"/>
  <c r="L30" i="9"/>
  <c r="K30" i="9"/>
  <c r="AH22" i="4"/>
  <c r="AC22" i="4"/>
  <c r="AM38" i="4"/>
  <c r="AH23" i="4"/>
  <c r="AC23" i="4"/>
  <c r="C121" i="3"/>
  <c r="C131" i="3"/>
  <c r="C129" i="3"/>
  <c r="C126" i="3"/>
  <c r="C124" i="3"/>
  <c r="AM39" i="4"/>
  <c r="AH24" i="4"/>
  <c r="AH26" i="4"/>
  <c r="AH39" i="4" s="1"/>
  <c r="AC24" i="4"/>
  <c r="AC38" i="4" s="1"/>
  <c r="AM28" i="4"/>
  <c r="AH25" i="4"/>
  <c r="AH27" i="4"/>
  <c r="AC25" i="4"/>
  <c r="C102" i="3"/>
  <c r="C130" i="3"/>
  <c r="C128" i="3"/>
  <c r="C125" i="3"/>
  <c r="C123" i="3"/>
  <c r="AM34" i="7"/>
  <c r="AC34" i="7"/>
  <c r="AC31" i="7"/>
  <c r="AC29" i="7"/>
  <c r="AC27" i="7"/>
  <c r="AA32" i="10"/>
  <c r="Y32" i="10"/>
  <c r="W32" i="10"/>
  <c r="U32" i="10"/>
  <c r="S32" i="10"/>
  <c r="Q32" i="10"/>
  <c r="O32" i="10"/>
  <c r="M32" i="10"/>
  <c r="K32" i="10"/>
  <c r="I32" i="10"/>
  <c r="AC30" i="9"/>
  <c r="AL122" i="3"/>
  <c r="AC30" i="10"/>
  <c r="AS122" i="3"/>
  <c r="J33" i="8"/>
  <c r="L33" i="8"/>
  <c r="N33" i="8"/>
  <c r="R33" i="8"/>
  <c r="T33" i="8"/>
  <c r="V33" i="8"/>
  <c r="Z33" i="8"/>
  <c r="J33" i="10"/>
  <c r="N33" i="10"/>
  <c r="O33" i="10"/>
  <c r="R33" i="10"/>
  <c r="V33" i="10"/>
  <c r="X33" i="10"/>
  <c r="W33" i="10"/>
  <c r="AA32" i="9"/>
  <c r="Y32" i="9"/>
  <c r="W32" i="9"/>
  <c r="U32" i="9"/>
  <c r="S32" i="9"/>
  <c r="Q32" i="9"/>
  <c r="O32" i="9"/>
  <c r="Z32" i="9"/>
  <c r="X32" i="9"/>
  <c r="V32" i="9"/>
  <c r="T32" i="9"/>
  <c r="R32" i="9"/>
  <c r="P32" i="9"/>
  <c r="N32" i="9"/>
  <c r="L32" i="9"/>
  <c r="J32" i="9"/>
  <c r="AM33" i="9"/>
  <c r="AH23" i="9"/>
  <c r="AC23" i="9"/>
  <c r="AM32" i="9"/>
  <c r="AH22" i="9"/>
  <c r="AH32" i="9" s="1"/>
  <c r="AC22" i="9"/>
  <c r="AC32" i="9" s="1"/>
  <c r="AC22" i="10"/>
  <c r="AC24" i="10"/>
  <c r="AC33" i="10" s="1"/>
  <c r="AH22" i="10"/>
  <c r="AM33" i="10"/>
  <c r="AC23" i="10"/>
  <c r="AH23" i="10"/>
  <c r="AM32" i="10"/>
  <c r="I32" i="6"/>
  <c r="K32" i="6"/>
  <c r="M32" i="6"/>
  <c r="O32" i="6"/>
  <c r="Q32" i="6"/>
  <c r="S32" i="6"/>
  <c r="U32" i="6"/>
  <c r="W32" i="6"/>
  <c r="Y32" i="6"/>
  <c r="I32" i="7"/>
  <c r="K32" i="7"/>
  <c r="M32" i="7"/>
  <c r="O32" i="7"/>
  <c r="Q32" i="7"/>
  <c r="S32" i="7"/>
  <c r="U32" i="7"/>
  <c r="W32" i="7"/>
  <c r="Y32" i="7"/>
  <c r="AA32" i="7"/>
  <c r="M33" i="8"/>
  <c r="O33" i="8"/>
  <c r="U33" i="8"/>
  <c r="W33" i="8"/>
  <c r="I33" i="9"/>
  <c r="J33" i="9"/>
  <c r="M33" i="9"/>
  <c r="N33" i="9"/>
  <c r="P33" i="9"/>
  <c r="Q33" i="9"/>
  <c r="R33" i="9"/>
  <c r="S33" i="9"/>
  <c r="V33" i="9"/>
  <c r="Y33" i="9"/>
  <c r="Z33" i="9"/>
  <c r="AA33" i="9"/>
  <c r="I33" i="10"/>
  <c r="L33" i="10"/>
  <c r="U33" i="10"/>
  <c r="AA33" i="10"/>
  <c r="K29" i="14"/>
  <c r="O29" i="14"/>
  <c r="S29" i="14"/>
  <c r="U29" i="14"/>
  <c r="W29" i="14"/>
  <c r="Y29" i="14"/>
  <c r="AA29" i="14"/>
  <c r="L29" i="14"/>
  <c r="R29" i="14"/>
  <c r="V29" i="14"/>
  <c r="Z29" i="14"/>
  <c r="I30" i="14"/>
  <c r="K30" i="14"/>
  <c r="M30" i="14"/>
  <c r="O30" i="14"/>
  <c r="Q30" i="14"/>
  <c r="S30" i="14"/>
  <c r="U30" i="14"/>
  <c r="W30" i="14"/>
  <c r="Y30" i="14"/>
  <c r="AA30" i="14"/>
  <c r="J30" i="14"/>
  <c r="L30" i="14"/>
  <c r="N30" i="14"/>
  <c r="P30" i="14"/>
  <c r="R30" i="14"/>
  <c r="T30" i="14"/>
  <c r="V30" i="14"/>
  <c r="X30" i="14"/>
  <c r="Z30" i="14"/>
  <c r="AB30" i="14"/>
  <c r="Q128" i="3"/>
  <c r="Q129" i="3"/>
  <c r="Q130" i="3"/>
  <c r="R130" i="3" s="1"/>
  <c r="Q131" i="3"/>
  <c r="Q102" i="3"/>
  <c r="Q103" i="3"/>
  <c r="Q105" i="3"/>
  <c r="L19" i="14" s="1"/>
  <c r="Q107" i="3"/>
  <c r="Q109" i="3"/>
  <c r="Q111" i="3"/>
  <c r="Q113" i="3"/>
  <c r="T19" i="14" s="1"/>
  <c r="Q115" i="3"/>
  <c r="Q117" i="3"/>
  <c r="Q119" i="3"/>
  <c r="Q121" i="3"/>
  <c r="AB19" i="14" s="1"/>
  <c r="Q127" i="3"/>
  <c r="Q123" i="3"/>
  <c r="Q124" i="3"/>
  <c r="Q125" i="3"/>
  <c r="Q126" i="3"/>
  <c r="Q104" i="3"/>
  <c r="Q106" i="3"/>
  <c r="Q108" i="3"/>
  <c r="O19" i="14" s="1"/>
  <c r="Q110" i="3"/>
  <c r="Q112" i="3"/>
  <c r="Q114" i="3"/>
  <c r="Q116" i="3"/>
  <c r="W19" i="14" s="1"/>
  <c r="Q118" i="3"/>
  <c r="Q120" i="3"/>
  <c r="AA19" i="14" s="1"/>
  <c r="Q122" i="3"/>
  <c r="Q132" i="3"/>
  <c r="AM19" i="14" s="1"/>
  <c r="I32" i="9"/>
  <c r="K32" i="9"/>
  <c r="M32" i="9"/>
  <c r="J32" i="10"/>
  <c r="L32" i="10"/>
  <c r="N32" i="10"/>
  <c r="P32" i="10"/>
  <c r="R32" i="10"/>
  <c r="T32" i="10"/>
  <c r="V32" i="10"/>
  <c r="X32" i="10"/>
  <c r="Z32" i="10"/>
  <c r="N12" i="14"/>
  <c r="AH23" i="14"/>
  <c r="AC22" i="14"/>
  <c r="AM22" i="14"/>
  <c r="AH24" i="14"/>
  <c r="AC27" i="14"/>
  <c r="AM27" i="14"/>
  <c r="AH29" i="14"/>
  <c r="AM30" i="14"/>
  <c r="AC30" i="14"/>
  <c r="AH31" i="14"/>
  <c r="AM32" i="14"/>
  <c r="AC32" i="14"/>
  <c r="AC33" i="14"/>
  <c r="AM33" i="14"/>
  <c r="AH34" i="14"/>
  <c r="BG84" i="3"/>
  <c r="BB123" i="3"/>
  <c r="BC123" i="3" s="1"/>
  <c r="BB124" i="3"/>
  <c r="BC124" i="3" s="1"/>
  <c r="BB125" i="3"/>
  <c r="BC125" i="3" s="1"/>
  <c r="BB126" i="3"/>
  <c r="BC126" i="3" s="1"/>
  <c r="BB127" i="3"/>
  <c r="BC127" i="3" s="1"/>
  <c r="BB128" i="3"/>
  <c r="BC128" i="3" s="1"/>
  <c r="BB129" i="3"/>
  <c r="BC129" i="3" s="1"/>
  <c r="BB130" i="3"/>
  <c r="BC130" i="3" s="1"/>
  <c r="BB131" i="3"/>
  <c r="BC131" i="3" s="1"/>
  <c r="BB132" i="3"/>
  <c r="BC132" i="3" s="1"/>
  <c r="AC23" i="14"/>
  <c r="AM23" i="14"/>
  <c r="AH22" i="14"/>
  <c r="AC24" i="14"/>
  <c r="AM24" i="14"/>
  <c r="AH27" i="14"/>
  <c r="AC29" i="14"/>
  <c r="AM29" i="14"/>
  <c r="AH30" i="14"/>
  <c r="AC31" i="14"/>
  <c r="AM31" i="14"/>
  <c r="AH32" i="14"/>
  <c r="AH33" i="14"/>
  <c r="AM34" i="14"/>
  <c r="AC35" i="10"/>
  <c r="AH33" i="4"/>
  <c r="AH32" i="4"/>
  <c r="AH41" i="4"/>
  <c r="AH28" i="4"/>
  <c r="M31" i="14"/>
  <c r="U31" i="14"/>
  <c r="J31" i="14"/>
  <c r="R31" i="14"/>
  <c r="Z31" i="14"/>
  <c r="AC19" i="14"/>
  <c r="AC19" i="6"/>
  <c r="Y19" i="14"/>
  <c r="Y19" i="6"/>
  <c r="U19" i="14"/>
  <c r="U19" i="6"/>
  <c r="Q19" i="14"/>
  <c r="Q19" i="6"/>
  <c r="M19" i="14"/>
  <c r="M19" i="6"/>
  <c r="AG19" i="14"/>
  <c r="R126" i="3"/>
  <c r="AG19" i="6"/>
  <c r="AE19" i="14"/>
  <c r="R124" i="3"/>
  <c r="AE18" i="14" s="1"/>
  <c r="AE19" i="6"/>
  <c r="R127" i="3"/>
  <c r="AH19" i="14"/>
  <c r="AH19" i="6"/>
  <c r="Z19" i="14"/>
  <c r="Z19" i="6"/>
  <c r="V19" i="14"/>
  <c r="V19" i="6"/>
  <c r="R19" i="14"/>
  <c r="R19" i="6"/>
  <c r="N19" i="14"/>
  <c r="N19" i="6"/>
  <c r="J19" i="14"/>
  <c r="J19" i="6"/>
  <c r="AL19" i="14"/>
  <c r="R131" i="3"/>
  <c r="AL19" i="6"/>
  <c r="AJ19" i="14"/>
  <c r="R129" i="3"/>
  <c r="AJ19" i="6"/>
  <c r="AC19" i="10"/>
  <c r="AF19" i="4"/>
  <c r="AK19" i="4"/>
  <c r="AG19" i="4"/>
  <c r="AL19" i="4"/>
  <c r="I37" i="5"/>
  <c r="J37" i="5"/>
  <c r="K37" i="5"/>
  <c r="L37" i="5"/>
  <c r="M37" i="5"/>
  <c r="N37" i="5"/>
  <c r="O37" i="5"/>
  <c r="P37" i="5"/>
  <c r="Q37" i="5"/>
  <c r="R37" i="5"/>
  <c r="S37" i="5"/>
  <c r="T37" i="5"/>
  <c r="U37" i="5"/>
  <c r="V37" i="5"/>
  <c r="W37" i="5"/>
  <c r="X37" i="5"/>
  <c r="Y37" i="5"/>
  <c r="Z37" i="5"/>
  <c r="AA37" i="5"/>
  <c r="AC37" i="5"/>
  <c r="AH37" i="5"/>
  <c r="AB37" i="5"/>
  <c r="AM104" i="3"/>
  <c r="J18" i="9"/>
  <c r="AM19" i="8"/>
  <c r="AK19" i="8"/>
  <c r="AK22" i="8" s="1"/>
  <c r="AI19" i="8"/>
  <c r="AI22" i="8" s="1"/>
  <c r="AH19" i="8"/>
  <c r="AF19" i="8"/>
  <c r="I4" i="13"/>
  <c r="I12" i="13"/>
  <c r="Z31" i="7"/>
  <c r="X31" i="7"/>
  <c r="V31" i="7"/>
  <c r="T31" i="7"/>
  <c r="R31" i="7"/>
  <c r="P31" i="7"/>
  <c r="N31" i="7"/>
  <c r="L31" i="7"/>
  <c r="J31" i="7"/>
  <c r="AB31" i="7"/>
  <c r="AA31" i="7"/>
  <c r="Y31" i="7"/>
  <c r="W31" i="7"/>
  <c r="U31" i="7"/>
  <c r="S31" i="7"/>
  <c r="Q31" i="7"/>
  <c r="O31" i="7"/>
  <c r="M31" i="7"/>
  <c r="K31" i="7"/>
  <c r="I31" i="7"/>
  <c r="AC32" i="10"/>
  <c r="AH32" i="10"/>
  <c r="AC24" i="9"/>
  <c r="AC26" i="4"/>
  <c r="R132" i="3"/>
  <c r="AM19" i="6"/>
  <c r="AA19" i="6"/>
  <c r="W19" i="6"/>
  <c r="S19" i="14"/>
  <c r="S19" i="6"/>
  <c r="O19" i="6"/>
  <c r="K19" i="14"/>
  <c r="K19" i="6"/>
  <c r="R125" i="3"/>
  <c r="AD19" i="14"/>
  <c r="AD34" i="14" s="1"/>
  <c r="R123" i="3"/>
  <c r="AD19" i="6"/>
  <c r="AB19" i="6"/>
  <c r="X19" i="14"/>
  <c r="X19" i="6"/>
  <c r="T19" i="6"/>
  <c r="P19" i="14"/>
  <c r="P19" i="6"/>
  <c r="L19" i="6"/>
  <c r="I19" i="14"/>
  <c r="R102" i="3"/>
  <c r="I19" i="6"/>
  <c r="AK19" i="14"/>
  <c r="AK19" i="6"/>
  <c r="AI19" i="14"/>
  <c r="R128" i="3"/>
  <c r="AI18" i="14" s="1"/>
  <c r="AI19" i="6"/>
  <c r="AC19" i="9"/>
  <c r="AD19" i="4"/>
  <c r="AI19" i="4"/>
  <c r="AI23" i="4" s="1"/>
  <c r="I19" i="4"/>
  <c r="D102" i="3"/>
  <c r="AE19" i="4"/>
  <c r="AJ19" i="4"/>
  <c r="AJ24" i="4" s="1"/>
  <c r="AB19" i="4"/>
  <c r="AL19" i="8"/>
  <c r="AL30" i="8" s="1"/>
  <c r="AJ19" i="8"/>
  <c r="AD19" i="8"/>
  <c r="AG19" i="8"/>
  <c r="AE19" i="8"/>
  <c r="AE31" i="8" s="1"/>
  <c r="AC19" i="8"/>
  <c r="H42" i="5"/>
  <c r="H44" i="5" s="1"/>
  <c r="G42" i="5"/>
  <c r="G44" i="5" s="1"/>
  <c r="F42" i="5"/>
  <c r="F44" i="5" s="1"/>
  <c r="F45" i="5" s="1"/>
  <c r="F47" i="5" s="1"/>
  <c r="F48" i="5" s="1"/>
  <c r="U22" i="3"/>
  <c r="S23" i="3"/>
  <c r="N22" i="3"/>
  <c r="L23" i="3"/>
  <c r="AB31" i="8"/>
  <c r="AA31" i="8"/>
  <c r="Z31" i="8"/>
  <c r="Y31" i="8"/>
  <c r="X31" i="8"/>
  <c r="W31" i="8"/>
  <c r="V31" i="8"/>
  <c r="U31" i="8"/>
  <c r="T31" i="8"/>
  <c r="S31" i="8"/>
  <c r="R31" i="8"/>
  <c r="Q31" i="8"/>
  <c r="P31" i="8"/>
  <c r="O31" i="8"/>
  <c r="N31" i="8"/>
  <c r="M31" i="8"/>
  <c r="L31" i="8"/>
  <c r="K31" i="8"/>
  <c r="J31" i="8"/>
  <c r="I31" i="8"/>
  <c r="AA37" i="4"/>
  <c r="Z37" i="4"/>
  <c r="Y37" i="4"/>
  <c r="X37" i="4"/>
  <c r="W37" i="4"/>
  <c r="V37" i="4"/>
  <c r="U37" i="4"/>
  <c r="T37" i="4"/>
  <c r="S37" i="4"/>
  <c r="R37" i="4"/>
  <c r="Q37" i="4"/>
  <c r="P37" i="4"/>
  <c r="O37" i="4"/>
  <c r="N37" i="4"/>
  <c r="M37" i="4"/>
  <c r="L37" i="4"/>
  <c r="K37" i="4"/>
  <c r="J37" i="4"/>
  <c r="AH37" i="4"/>
  <c r="AC37" i="4"/>
  <c r="I37" i="4"/>
  <c r="D4" i="13"/>
  <c r="D12" i="13" s="1"/>
  <c r="G4" i="13"/>
  <c r="G12" i="13"/>
  <c r="AB24" i="4"/>
  <c r="AB25" i="4"/>
  <c r="AB27" i="4" s="1"/>
  <c r="AB22" i="4"/>
  <c r="AB23" i="4"/>
  <c r="AB36" i="4"/>
  <c r="AB37" i="4"/>
  <c r="AJ25" i="4"/>
  <c r="AE24" i="4"/>
  <c r="AE23" i="4"/>
  <c r="AE27" i="4" s="1"/>
  <c r="AE22" i="4"/>
  <c r="AE38" i="4"/>
  <c r="AE25" i="4"/>
  <c r="AE36" i="4"/>
  <c r="AE37" i="4"/>
  <c r="I24" i="4"/>
  <c r="I22" i="4"/>
  <c r="I26" i="4" s="1"/>
  <c r="I23" i="4"/>
  <c r="I25" i="4"/>
  <c r="I27" i="4" s="1"/>
  <c r="AI24" i="4"/>
  <c r="AD22" i="4"/>
  <c r="AD23" i="4"/>
  <c r="AD27" i="4" s="1"/>
  <c r="AD24" i="4"/>
  <c r="AD38" i="4" s="1"/>
  <c r="AD25" i="4"/>
  <c r="AD36" i="4"/>
  <c r="AD37" i="4"/>
  <c r="AK24" i="14"/>
  <c r="AK29" i="14"/>
  <c r="AK31" i="14"/>
  <c r="AK37" i="14"/>
  <c r="AK34" i="14"/>
  <c r="AK38" i="14"/>
  <c r="AK41" i="14"/>
  <c r="AD18" i="14"/>
  <c r="AD18" i="6"/>
  <c r="AM40" i="6"/>
  <c r="AM41" i="6"/>
  <c r="AF22" i="8"/>
  <c r="AF23" i="8"/>
  <c r="AF24" i="8" s="1"/>
  <c r="AF31" i="8"/>
  <c r="AF30" i="8"/>
  <c r="AM38" i="8"/>
  <c r="AM41" i="8" s="1"/>
  <c r="K18" i="9"/>
  <c r="AM105" i="3"/>
  <c r="AJ18" i="14"/>
  <c r="AJ18" i="6"/>
  <c r="AL23" i="6"/>
  <c r="AL22" i="6"/>
  <c r="AL32" i="6"/>
  <c r="AL27" i="6"/>
  <c r="AL30" i="6"/>
  <c r="AL33" i="6"/>
  <c r="AL37" i="6"/>
  <c r="AL24" i="6"/>
  <c r="AL29" i="6"/>
  <c r="AL31" i="6"/>
  <c r="AL34" i="6"/>
  <c r="AL40" i="6"/>
  <c r="AL38" i="6"/>
  <c r="AL41" i="6"/>
  <c r="AL22" i="14"/>
  <c r="AL24" i="14"/>
  <c r="AL32" i="14"/>
  <c r="AL23" i="14"/>
  <c r="AL34" i="14"/>
  <c r="AL27" i="14"/>
  <c r="AL29" i="14"/>
  <c r="AL30" i="14"/>
  <c r="AL31" i="14"/>
  <c r="AL33" i="14"/>
  <c r="AL37" i="14"/>
  <c r="AL38" i="14"/>
  <c r="AL40" i="14"/>
  <c r="AL41" i="14"/>
  <c r="AH40" i="6"/>
  <c r="AH41" i="6"/>
  <c r="AH18" i="14"/>
  <c r="AH18" i="6"/>
  <c r="AE18" i="6"/>
  <c r="AG23" i="6"/>
  <c r="AG22" i="6"/>
  <c r="AG32" i="6"/>
  <c r="AG24" i="6"/>
  <c r="AG29" i="6"/>
  <c r="AG31" i="6"/>
  <c r="AG34" i="6"/>
  <c r="AG40" i="6"/>
  <c r="AG27" i="6"/>
  <c r="AG30" i="6"/>
  <c r="AG33" i="6"/>
  <c r="AG37" i="6"/>
  <c r="AG38" i="6"/>
  <c r="AG41" i="6"/>
  <c r="AG34" i="14"/>
  <c r="AG38" i="14"/>
  <c r="AG24" i="14"/>
  <c r="AG27" i="14"/>
  <c r="AG30" i="14"/>
  <c r="AG33" i="14"/>
  <c r="AG41" i="14"/>
  <c r="AE22" i="8"/>
  <c r="AG23" i="8"/>
  <c r="AG32" i="8" s="1"/>
  <c r="AG22" i="8"/>
  <c r="AG31" i="8"/>
  <c r="AG30" i="8"/>
  <c r="AJ23" i="8"/>
  <c r="AJ24" i="8" s="1"/>
  <c r="AJ33" i="8" s="1"/>
  <c r="AJ22" i="8"/>
  <c r="AJ30" i="8"/>
  <c r="AJ31" i="8"/>
  <c r="AL23" i="8"/>
  <c r="AI22" i="6"/>
  <c r="AI32" i="6"/>
  <c r="AI23" i="6"/>
  <c r="AI27" i="6"/>
  <c r="AI30" i="6"/>
  <c r="AI33" i="6"/>
  <c r="AI37" i="6"/>
  <c r="AI24" i="6"/>
  <c r="AI29" i="6"/>
  <c r="AI31" i="6"/>
  <c r="AI34" i="6"/>
  <c r="AI40" i="6"/>
  <c r="AI38" i="6"/>
  <c r="AI41" i="6"/>
  <c r="AI22" i="14"/>
  <c r="AI24" i="14"/>
  <c r="AI27" i="14"/>
  <c r="AI29" i="14"/>
  <c r="AI30" i="14"/>
  <c r="AI31" i="14"/>
  <c r="AI33" i="14"/>
  <c r="AI37" i="14"/>
  <c r="AI38" i="14"/>
  <c r="AI23" i="14"/>
  <c r="AI34" i="14"/>
  <c r="AI32" i="14"/>
  <c r="AI40" i="14"/>
  <c r="AI41" i="14"/>
  <c r="AK18" i="14"/>
  <c r="AK18" i="6"/>
  <c r="AD33" i="6"/>
  <c r="AD27" i="14"/>
  <c r="AD33" i="14"/>
  <c r="AD38" i="14"/>
  <c r="AF18" i="14"/>
  <c r="AF18" i="6"/>
  <c r="AM37" i="14"/>
  <c r="AM38" i="14"/>
  <c r="AM40" i="14"/>
  <c r="AM41" i="14"/>
  <c r="AC32" i="4"/>
  <c r="AC41" i="4"/>
  <c r="AC39" i="4"/>
  <c r="AL24" i="4"/>
  <c r="AL23" i="4"/>
  <c r="AL27" i="4" s="1"/>
  <c r="AL22" i="4"/>
  <c r="AL26" i="4" s="1"/>
  <c r="AL35" i="4" s="1"/>
  <c r="AL25" i="4"/>
  <c r="AL36" i="4"/>
  <c r="AL37" i="4"/>
  <c r="AG24" i="4"/>
  <c r="AG23" i="4"/>
  <c r="AG22" i="4"/>
  <c r="AG38" i="4"/>
  <c r="AG25" i="4"/>
  <c r="AG36" i="4"/>
  <c r="AG37" i="4"/>
  <c r="AK22" i="4"/>
  <c r="AK38" i="4" s="1"/>
  <c r="AK23" i="4"/>
  <c r="AK24" i="4"/>
  <c r="AK25" i="4"/>
  <c r="AK36" i="4"/>
  <c r="AK37" i="4"/>
  <c r="AF22" i="4"/>
  <c r="AF26" i="4" s="1"/>
  <c r="AF23" i="4"/>
  <c r="AF24" i="4"/>
  <c r="AF25" i="4"/>
  <c r="AF36" i="4"/>
  <c r="AF37" i="4"/>
  <c r="AJ23" i="6"/>
  <c r="AJ22" i="6"/>
  <c r="AJ32" i="6"/>
  <c r="AJ27" i="6"/>
  <c r="AJ30" i="6"/>
  <c r="AJ33" i="6"/>
  <c r="AJ37" i="6"/>
  <c r="AJ24" i="6"/>
  <c r="AJ29" i="6"/>
  <c r="AJ31" i="6"/>
  <c r="AJ34" i="6"/>
  <c r="AJ40" i="6"/>
  <c r="AJ38" i="6"/>
  <c r="AJ41" i="6"/>
  <c r="AJ22" i="14"/>
  <c r="AJ24" i="14"/>
  <c r="AJ32" i="14"/>
  <c r="AJ23" i="14"/>
  <c r="AJ34" i="14"/>
  <c r="AJ27" i="14"/>
  <c r="AJ29" i="14"/>
  <c r="AJ30" i="14"/>
  <c r="AJ31" i="14"/>
  <c r="AJ33" i="14"/>
  <c r="AJ37" i="14"/>
  <c r="AJ38" i="14"/>
  <c r="AJ40" i="14"/>
  <c r="AJ41" i="14"/>
  <c r="AL18" i="14"/>
  <c r="AL18" i="6"/>
  <c r="AH37" i="14"/>
  <c r="AH38" i="14"/>
  <c r="AH40" i="14"/>
  <c r="AH41" i="14"/>
  <c r="AE23" i="6"/>
  <c r="AE22" i="6"/>
  <c r="AE32" i="6"/>
  <c r="AE24" i="6"/>
  <c r="AE29" i="6"/>
  <c r="AE31" i="6"/>
  <c r="AE34" i="6"/>
  <c r="AE40" i="6"/>
  <c r="AE27" i="6"/>
  <c r="AE30" i="6"/>
  <c r="AE33" i="6"/>
  <c r="AE37" i="6"/>
  <c r="AE38" i="6"/>
  <c r="AE41" i="6"/>
  <c r="AE23" i="14"/>
  <c r="AE34" i="14"/>
  <c r="AE37" i="14"/>
  <c r="AE38" i="14"/>
  <c r="AE22" i="14"/>
  <c r="AE24" i="14"/>
  <c r="AE32" i="14"/>
  <c r="AE27" i="14"/>
  <c r="AE29" i="14"/>
  <c r="AE30" i="14"/>
  <c r="AE31" i="14"/>
  <c r="AE33" i="14"/>
  <c r="AE40" i="14"/>
  <c r="AE41" i="14"/>
  <c r="AG18" i="14"/>
  <c r="AG18" i="6"/>
  <c r="R103" i="3"/>
  <c r="J18" i="14"/>
  <c r="J18" i="6"/>
  <c r="R104" i="3"/>
  <c r="K18" i="6" s="1"/>
  <c r="AG26" i="4"/>
  <c r="AE26" i="4"/>
  <c r="AM106" i="3"/>
  <c r="AM107" i="3" s="1"/>
  <c r="L18" i="9"/>
  <c r="AE39" i="4"/>
  <c r="AE41" i="4"/>
  <c r="AE32" i="4"/>
  <c r="AJ29" i="8"/>
  <c r="AG39" i="4"/>
  <c r="AG41" i="4"/>
  <c r="AG32" i="4"/>
  <c r="AA29" i="10"/>
  <c r="W29" i="10"/>
  <c r="U29" i="10"/>
  <c r="O29" i="10"/>
  <c r="I29" i="10"/>
  <c r="AB29" i="10"/>
  <c r="X29" i="10"/>
  <c r="V29" i="10"/>
  <c r="R29" i="10"/>
  <c r="N29" i="10"/>
  <c r="L29" i="10"/>
  <c r="J29" i="10"/>
  <c r="AC29" i="10"/>
  <c r="Z35" i="4"/>
  <c r="X35" i="4"/>
  <c r="T35" i="4"/>
  <c r="R35" i="4"/>
  <c r="P35" i="4"/>
  <c r="L35" i="4"/>
  <c r="J35" i="4"/>
  <c r="AH35" i="4"/>
  <c r="AE35" i="4"/>
  <c r="AA35" i="4"/>
  <c r="U35" i="4"/>
  <c r="S35" i="4"/>
  <c r="M35" i="4"/>
  <c r="K35" i="4"/>
  <c r="AC35" i="4"/>
  <c r="AF35" i="4"/>
  <c r="AG35" i="4"/>
  <c r="G15" i="3"/>
  <c r="AF33" i="8" l="1"/>
  <c r="AF35" i="8"/>
  <c r="AF29" i="8"/>
  <c r="AE33" i="4"/>
  <c r="AE28" i="4"/>
  <c r="AM108" i="3"/>
  <c r="N18" i="9"/>
  <c r="I39" i="4"/>
  <c r="I35" i="4"/>
  <c r="I41" i="4"/>
  <c r="AA29" i="9"/>
  <c r="S29" i="9"/>
  <c r="O29" i="9"/>
  <c r="Z29" i="9"/>
  <c r="V29" i="9"/>
  <c r="R29" i="9"/>
  <c r="N29" i="9"/>
  <c r="J29" i="9"/>
  <c r="Y29" i="9"/>
  <c r="Q29" i="9"/>
  <c r="M29" i="9"/>
  <c r="I29" i="9"/>
  <c r="AB29" i="9"/>
  <c r="P29" i="9"/>
  <c r="L29" i="9"/>
  <c r="R105" i="3"/>
  <c r="K18" i="14"/>
  <c r="AJ35" i="8"/>
  <c r="M18" i="9"/>
  <c r="I38" i="4"/>
  <c r="AK27" i="4"/>
  <c r="AL38" i="4"/>
  <c r="AD40" i="14"/>
  <c r="AD22" i="14"/>
  <c r="AD29" i="14"/>
  <c r="AD23" i="14"/>
  <c r="AL22" i="8"/>
  <c r="AL32" i="8" s="1"/>
  <c r="AJ32" i="8"/>
  <c r="AG24" i="8"/>
  <c r="AI30" i="8"/>
  <c r="AF32" i="8"/>
  <c r="AI18" i="6"/>
  <c r="AI25" i="4"/>
  <c r="AJ36" i="4"/>
  <c r="K29" i="6"/>
  <c r="P29" i="6"/>
  <c r="T29" i="6"/>
  <c r="X29" i="6"/>
  <c r="AB29" i="6"/>
  <c r="M29" i="6"/>
  <c r="Q29" i="6"/>
  <c r="U29" i="6"/>
  <c r="Y29" i="6"/>
  <c r="N29" i="6"/>
  <c r="R29" i="6"/>
  <c r="V29" i="6"/>
  <c r="Z29" i="6"/>
  <c r="J29" i="6"/>
  <c r="O29" i="6"/>
  <c r="S29" i="6"/>
  <c r="W29" i="6"/>
  <c r="AA29" i="6"/>
  <c r="AK26" i="4"/>
  <c r="AK32" i="4" s="1"/>
  <c r="AD37" i="14"/>
  <c r="AD31" i="14"/>
  <c r="AD32" i="14"/>
  <c r="AL31" i="8"/>
  <c r="AE30" i="8"/>
  <c r="AE23" i="8"/>
  <c r="AE24" i="8" s="1"/>
  <c r="AE33" i="8" s="1"/>
  <c r="AI23" i="8"/>
  <c r="AI24" i="8" s="1"/>
  <c r="AJ22" i="4"/>
  <c r="AJ38" i="4" s="1"/>
  <c r="AH32" i="5"/>
  <c r="AH39" i="5"/>
  <c r="AD41" i="14"/>
  <c r="AD24" i="14"/>
  <c r="AD30" i="14"/>
  <c r="AI31" i="8"/>
  <c r="AJ37" i="4"/>
  <c r="N12" i="6"/>
  <c r="AB32" i="9"/>
  <c r="AC27" i="4"/>
  <c r="AH38" i="4"/>
  <c r="AH27" i="5"/>
  <c r="P13" i="8"/>
  <c r="AC84" i="3"/>
  <c r="AW22" i="3"/>
  <c r="AU23" i="3"/>
  <c r="AC27" i="5"/>
  <c r="AP60" i="3"/>
  <c r="I5" i="9" s="1"/>
  <c r="N12" i="9"/>
  <c r="AT102" i="3"/>
  <c r="I18" i="10" s="1"/>
  <c r="H18" i="10" s="1"/>
  <c r="G18" i="10" s="1"/>
  <c r="F18" i="10" s="1"/>
  <c r="AS123" i="3"/>
  <c r="AD19" i="10" s="1"/>
  <c r="AS124" i="3"/>
  <c r="AE19" i="10" s="1"/>
  <c r="AH30" i="10"/>
  <c r="AM31" i="10"/>
  <c r="AS121" i="3"/>
  <c r="AB19" i="10" s="1"/>
  <c r="AS118" i="3"/>
  <c r="Y19" i="10" s="1"/>
  <c r="AS115" i="3"/>
  <c r="V19" i="10" s="1"/>
  <c r="AS112" i="3"/>
  <c r="S19" i="10" s="1"/>
  <c r="AS125" i="3"/>
  <c r="AF19" i="10" s="1"/>
  <c r="AS129" i="3"/>
  <c r="AJ19" i="10" s="1"/>
  <c r="AM35" i="10"/>
  <c r="AS126" i="3"/>
  <c r="AG19" i="10" s="1"/>
  <c r="AS131" i="3"/>
  <c r="AL19" i="10" s="1"/>
  <c r="AM23" i="10"/>
  <c r="AS117" i="3"/>
  <c r="X19" i="10" s="1"/>
  <c r="AS111" i="3"/>
  <c r="R19" i="10" s="1"/>
  <c r="AS127" i="3"/>
  <c r="AH19" i="10" s="1"/>
  <c r="AM29" i="10"/>
  <c r="H84" i="3"/>
  <c r="AM19" i="7"/>
  <c r="AH19" i="7"/>
  <c r="I19" i="9"/>
  <c r="I30" i="9"/>
  <c r="J30" i="9"/>
  <c r="C132" i="3"/>
  <c r="AM19" i="4" s="1"/>
  <c r="AM44" i="4" s="1"/>
  <c r="AM47" i="4" s="1"/>
  <c r="AM33" i="4"/>
  <c r="AM40" i="4"/>
  <c r="C122" i="3"/>
  <c r="AC19" i="4" s="1"/>
  <c r="AM22" i="4"/>
  <c r="AM35" i="4"/>
  <c r="AM41" i="4"/>
  <c r="AM23" i="4"/>
  <c r="AM24" i="4"/>
  <c r="AM31" i="4"/>
  <c r="AM36" i="4"/>
  <c r="AM25" i="4"/>
  <c r="AM26" i="4"/>
  <c r="AM32" i="4"/>
  <c r="AM37" i="4"/>
  <c r="C127" i="3"/>
  <c r="AH19" i="4" s="1"/>
  <c r="AM27" i="4"/>
  <c r="AH23" i="6"/>
  <c r="AC32" i="6"/>
  <c r="AC24" i="6"/>
  <c r="AC31" i="6"/>
  <c r="AH29" i="6"/>
  <c r="AH34" i="6"/>
  <c r="AM31" i="6"/>
  <c r="AH32" i="6"/>
  <c r="AC27" i="6"/>
  <c r="AC33" i="6"/>
  <c r="AH30" i="6"/>
  <c r="AM27" i="6"/>
  <c r="AM33" i="6"/>
  <c r="AM32" i="6"/>
  <c r="AC22" i="6"/>
  <c r="AC29" i="6"/>
  <c r="AC37" i="6" s="1"/>
  <c r="AC40" i="6" s="1"/>
  <c r="AC34" i="6"/>
  <c r="AH24" i="6"/>
  <c r="AH31" i="6"/>
  <c r="AM29" i="6"/>
  <c r="AM34" i="6"/>
  <c r="AH22" i="6"/>
  <c r="AC23" i="6"/>
  <c r="AM23" i="6"/>
  <c r="AC30" i="6"/>
  <c r="AH27" i="6"/>
  <c r="AH33" i="6"/>
  <c r="AM30" i="6"/>
  <c r="J32" i="6"/>
  <c r="T32" i="6"/>
  <c r="K24" i="9"/>
  <c r="X32" i="14"/>
  <c r="I24" i="14"/>
  <c r="I29" i="14" s="1"/>
  <c r="K30" i="8"/>
  <c r="S30" i="8"/>
  <c r="AA30" i="8"/>
  <c r="O27" i="4"/>
  <c r="Q27" i="4"/>
  <c r="V27" i="4"/>
  <c r="N26" i="4"/>
  <c r="W26" i="4"/>
  <c r="Y26" i="4"/>
  <c r="K27" i="5"/>
  <c r="T27" i="5"/>
  <c r="V27" i="5"/>
  <c r="AA27" i="5"/>
  <c r="P26" i="5"/>
  <c r="P32" i="5" s="1"/>
  <c r="R26" i="5"/>
  <c r="W26" i="5"/>
  <c r="I24" i="6"/>
  <c r="I34" i="6" s="1"/>
  <c r="P32" i="6"/>
  <c r="R32" i="6"/>
  <c r="AB32" i="6"/>
  <c r="Q24" i="8"/>
  <c r="S24" i="8"/>
  <c r="X24" i="8"/>
  <c r="O24" i="9"/>
  <c r="T24" i="9"/>
  <c r="K24" i="10"/>
  <c r="P24" i="10"/>
  <c r="Z24" i="10"/>
  <c r="Z32" i="14"/>
  <c r="U32" i="14"/>
  <c r="Q32" i="14"/>
  <c r="M32" i="14"/>
  <c r="I32" i="14"/>
  <c r="X24" i="14"/>
  <c r="P24" i="14"/>
  <c r="N24" i="14"/>
  <c r="BF15" i="3"/>
  <c r="BF23" i="3" s="1"/>
  <c r="X32" i="6"/>
  <c r="Z32" i="6"/>
  <c r="X24" i="9"/>
  <c r="M24" i="10"/>
  <c r="T24" i="10"/>
  <c r="AB32" i="14"/>
  <c r="Q24" i="14"/>
  <c r="Q29" i="14" s="1"/>
  <c r="J24" i="14"/>
  <c r="O30" i="8"/>
  <c r="W30" i="8"/>
  <c r="N27" i="4"/>
  <c r="W27" i="4"/>
  <c r="Y27" i="4"/>
  <c r="O26" i="4"/>
  <c r="Q26" i="4"/>
  <c r="V26" i="4"/>
  <c r="L27" i="5"/>
  <c r="N27" i="5"/>
  <c r="S27" i="5"/>
  <c r="AB27" i="5"/>
  <c r="J26" i="5"/>
  <c r="O26" i="5"/>
  <c r="X26" i="5"/>
  <c r="Z26" i="5"/>
  <c r="L32" i="6"/>
  <c r="O24" i="6"/>
  <c r="O34" i="6" s="1"/>
  <c r="I24" i="8"/>
  <c r="K24" i="8"/>
  <c r="P24" i="8"/>
  <c r="P29" i="8" s="1"/>
  <c r="Y24" i="8"/>
  <c r="AA24" i="8"/>
  <c r="L24" i="9"/>
  <c r="U24" i="9"/>
  <c r="U29" i="9" s="1"/>
  <c r="W24" i="9"/>
  <c r="W29" i="9" s="1"/>
  <c r="AB24" i="9"/>
  <c r="AB35" i="9" s="1"/>
  <c r="Q24" i="10"/>
  <c r="S24" i="10"/>
  <c r="Y24" i="10"/>
  <c r="W32" i="14"/>
  <c r="S32" i="14"/>
  <c r="O32" i="14"/>
  <c r="AB24" i="14"/>
  <c r="T24" i="14"/>
  <c r="M24" i="14"/>
  <c r="M29" i="14" s="1"/>
  <c r="R106" i="3"/>
  <c r="L18" i="14"/>
  <c r="L18" i="6"/>
  <c r="AF39" i="4"/>
  <c r="AF32" i="4"/>
  <c r="AF41" i="4"/>
  <c r="AK39" i="4"/>
  <c r="AL41" i="4"/>
  <c r="AL28" i="4"/>
  <c r="AL32" i="4"/>
  <c r="AL33" i="4"/>
  <c r="AL39" i="4"/>
  <c r="AG33" i="8"/>
  <c r="AG35" i="8"/>
  <c r="AG29" i="8"/>
  <c r="D103" i="3"/>
  <c r="I18" i="4"/>
  <c r="H18" i="4" s="1"/>
  <c r="G18" i="4" s="1"/>
  <c r="F18" i="4" s="1"/>
  <c r="AK32" i="6"/>
  <c r="AK37" i="6"/>
  <c r="AK34" i="6"/>
  <c r="AK23" i="6"/>
  <c r="AK30" i="6"/>
  <c r="AK29" i="6"/>
  <c r="AK38" i="6"/>
  <c r="AK27" i="6"/>
  <c r="AK40" i="6"/>
  <c r="AK33" i="6"/>
  <c r="AK41" i="6"/>
  <c r="AK22" i="6"/>
  <c r="AK31" i="6"/>
  <c r="AK24" i="6"/>
  <c r="AD23" i="6"/>
  <c r="AD29" i="6"/>
  <c r="AD27" i="6"/>
  <c r="AD38" i="6"/>
  <c r="AD22" i="6"/>
  <c r="AD31" i="6"/>
  <c r="AD30" i="6"/>
  <c r="AD41" i="6"/>
  <c r="AD24" i="6"/>
  <c r="AD40" i="6"/>
  <c r="AD37" i="6"/>
  <c r="AD32" i="6"/>
  <c r="AD34" i="6"/>
  <c r="AM18" i="14"/>
  <c r="AM18" i="6"/>
  <c r="H47" i="5"/>
  <c r="AD31" i="8"/>
  <c r="AD22" i="8"/>
  <c r="AD30" i="8"/>
  <c r="AD23" i="8"/>
  <c r="AC29" i="9"/>
  <c r="AC33" i="9"/>
  <c r="AC35" i="9"/>
  <c r="AG27" i="4"/>
  <c r="AB26" i="4"/>
  <c r="AB38" i="4"/>
  <c r="I28" i="4"/>
  <c r="I33" i="4"/>
  <c r="AE35" i="8"/>
  <c r="AE29" i="8"/>
  <c r="I32" i="4"/>
  <c r="AF27" i="4"/>
  <c r="AF28" i="4" s="1"/>
  <c r="AL24" i="8"/>
  <c r="AH33" i="8"/>
  <c r="AH35" i="8"/>
  <c r="AD26" i="4"/>
  <c r="G47" i="5"/>
  <c r="G48" i="5" s="1"/>
  <c r="G45" i="5"/>
  <c r="H45" i="5" s="1"/>
  <c r="I18" i="14"/>
  <c r="H18" i="14" s="1"/>
  <c r="G18" i="14" s="1"/>
  <c r="F18" i="14" s="1"/>
  <c r="I18" i="6"/>
  <c r="H18" i="6" s="1"/>
  <c r="G18" i="6" s="1"/>
  <c r="F18" i="6" s="1"/>
  <c r="AM37" i="6"/>
  <c r="AM38" i="6"/>
  <c r="O31" i="14"/>
  <c r="W31" i="14"/>
  <c r="L31" i="14"/>
  <c r="T31" i="14"/>
  <c r="AB31" i="14"/>
  <c r="I31" i="14"/>
  <c r="Q31" i="14"/>
  <c r="Y31" i="14"/>
  <c r="N31" i="14"/>
  <c r="V31" i="14"/>
  <c r="K31" i="14"/>
  <c r="S31" i="14"/>
  <c r="AA31" i="14"/>
  <c r="P31" i="14"/>
  <c r="X31" i="14"/>
  <c r="AF19" i="14"/>
  <c r="AF19" i="6"/>
  <c r="AF38" i="4"/>
  <c r="AK22" i="14"/>
  <c r="AK30" i="14"/>
  <c r="AK23" i="14"/>
  <c r="AK40" i="14"/>
  <c r="AK27" i="14"/>
  <c r="AK33" i="14"/>
  <c r="AK32" i="14"/>
  <c r="AJ26" i="4"/>
  <c r="AJ41" i="4" s="1"/>
  <c r="AJ23" i="4"/>
  <c r="AJ27" i="4" s="1"/>
  <c r="AI27" i="4"/>
  <c r="AI36" i="4"/>
  <c r="AI22" i="4"/>
  <c r="AI38" i="4" s="1"/>
  <c r="AI26" i="4"/>
  <c r="AI37" i="4"/>
  <c r="AH37" i="6"/>
  <c r="AH38" i="6"/>
  <c r="AG37" i="14"/>
  <c r="AG32" i="14"/>
  <c r="AG31" i="14"/>
  <c r="AG23" i="14"/>
  <c r="AG22" i="14"/>
  <c r="AG29" i="14"/>
  <c r="AG40" i="14"/>
  <c r="AC37" i="14"/>
  <c r="AC40" i="14" s="1"/>
  <c r="AC26" i="5"/>
  <c r="AC38" i="5"/>
  <c r="AH41" i="5"/>
  <c r="AH33" i="5"/>
  <c r="AH28" i="5"/>
  <c r="AH35" i="5"/>
  <c r="AK31" i="8"/>
  <c r="AK23" i="8"/>
  <c r="AH24" i="10"/>
  <c r="AH24" i="9"/>
  <c r="J19" i="10"/>
  <c r="AT103" i="3"/>
  <c r="N12" i="10"/>
  <c r="AB29" i="8"/>
  <c r="X29" i="8"/>
  <c r="T29" i="8"/>
  <c r="L29" i="8"/>
  <c r="Z29" i="8"/>
  <c r="U29" i="8"/>
  <c r="O29" i="8"/>
  <c r="J29" i="8"/>
  <c r="Y29" i="8"/>
  <c r="N29" i="8"/>
  <c r="I29" i="8"/>
  <c r="AH29" i="8"/>
  <c r="W29" i="8"/>
  <c r="R29" i="8"/>
  <c r="M29" i="8"/>
  <c r="AK19" i="7"/>
  <c r="Y130" i="3"/>
  <c r="AK18" i="7" s="1"/>
  <c r="AJ48" i="3"/>
  <c r="G13" i="8"/>
  <c r="P13" i="6"/>
  <c r="V84" i="3"/>
  <c r="AB34" i="9"/>
  <c r="X34" i="9"/>
  <c r="T34" i="9"/>
  <c r="P34" i="9"/>
  <c r="L34" i="9"/>
  <c r="I34" i="9"/>
  <c r="Y34" i="9"/>
  <c r="S34" i="9"/>
  <c r="N34" i="9"/>
  <c r="AH34" i="9"/>
  <c r="W34" i="9"/>
  <c r="R34" i="9"/>
  <c r="M34" i="9"/>
  <c r="AA34" i="9"/>
  <c r="V34" i="9"/>
  <c r="Q34" i="9"/>
  <c r="K34" i="9"/>
  <c r="AC34" i="9"/>
  <c r="AK30" i="8"/>
  <c r="AC24" i="8"/>
  <c r="AC29" i="8" s="1"/>
  <c r="AC32" i="8"/>
  <c r="AI15" i="3"/>
  <c r="B10" i="4"/>
  <c r="H11" i="3"/>
  <c r="I19" i="5"/>
  <c r="K102" i="3"/>
  <c r="I18" i="5" s="1"/>
  <c r="H18" i="5" s="1"/>
  <c r="G18" i="5" s="1"/>
  <c r="F18" i="5" s="1"/>
  <c r="I19" i="7"/>
  <c r="Y102" i="3"/>
  <c r="G60" i="3"/>
  <c r="I5" i="4" s="1"/>
  <c r="AJ40" i="4" s="1"/>
  <c r="N15" i="3"/>
  <c r="N23" i="3" s="1"/>
  <c r="U15" i="3"/>
  <c r="U23" i="3" s="1"/>
  <c r="L32" i="5"/>
  <c r="T32" i="5"/>
  <c r="X32" i="5"/>
  <c r="V32" i="5"/>
  <c r="Z32" i="5"/>
  <c r="R32" i="5"/>
  <c r="AB32" i="5"/>
  <c r="AM22" i="5"/>
  <c r="J123" i="3"/>
  <c r="AM36" i="5"/>
  <c r="AM23" i="5"/>
  <c r="J122" i="3"/>
  <c r="AM32" i="5"/>
  <c r="AM40" i="5"/>
  <c r="J126" i="3"/>
  <c r="J130" i="3"/>
  <c r="J103" i="3"/>
  <c r="J119" i="3"/>
  <c r="J117" i="3"/>
  <c r="J115" i="3"/>
  <c r="J113" i="3"/>
  <c r="J111" i="3"/>
  <c r="J109" i="3"/>
  <c r="J107" i="3"/>
  <c r="J105" i="3"/>
  <c r="J127" i="3"/>
  <c r="J131" i="3"/>
  <c r="AM35" i="5"/>
  <c r="AM25" i="5"/>
  <c r="AM27" i="5"/>
  <c r="J125" i="3"/>
  <c r="J129" i="3"/>
  <c r="AM31" i="5"/>
  <c r="AM41" i="5"/>
  <c r="AM24" i="5"/>
  <c r="AE121" i="3"/>
  <c r="AE119" i="3"/>
  <c r="AE117" i="3"/>
  <c r="AE115" i="3"/>
  <c r="AE113" i="3"/>
  <c r="AE111" i="3"/>
  <c r="AE109" i="3"/>
  <c r="AE107" i="3"/>
  <c r="AE105" i="3"/>
  <c r="AE103" i="3"/>
  <c r="AM23" i="8"/>
  <c r="AM24" i="8"/>
  <c r="K19" i="5"/>
  <c r="U60" i="3"/>
  <c r="I5" i="6" s="1"/>
  <c r="AF102" i="3"/>
  <c r="I18" i="8" s="1"/>
  <c r="H18" i="8" s="1"/>
  <c r="G18" i="8" s="1"/>
  <c r="F18" i="8" s="1"/>
  <c r="I19" i="8"/>
  <c r="AD19" i="7"/>
  <c r="Y123" i="3"/>
  <c r="AD18" i="7" s="1"/>
  <c r="AC40" i="5"/>
  <c r="G11" i="3"/>
  <c r="E22" i="3"/>
  <c r="AG22" i="3"/>
  <c r="J128" i="3"/>
  <c r="N32" i="5"/>
  <c r="AB60" i="3"/>
  <c r="I5" i="7" s="1"/>
  <c r="AE19" i="7"/>
  <c r="Y124" i="3"/>
  <c r="AE18" i="7" s="1"/>
  <c r="J124" i="3"/>
  <c r="AB15" i="3"/>
  <c r="AB23" i="3" s="1"/>
  <c r="AP11" i="3"/>
  <c r="AN22" i="3"/>
  <c r="O32" i="4"/>
  <c r="W32" i="4"/>
  <c r="X32" i="4"/>
  <c r="T32" i="4"/>
  <c r="P32" i="4"/>
  <c r="L32" i="4"/>
  <c r="Z32" i="4"/>
  <c r="V32" i="4"/>
  <c r="R32" i="4"/>
  <c r="N32" i="4"/>
  <c r="J32" i="4"/>
  <c r="AL123" i="3"/>
  <c r="AL128" i="3"/>
  <c r="AM31" i="9"/>
  <c r="AL125" i="3"/>
  <c r="AL127" i="3"/>
  <c r="AL131" i="3"/>
  <c r="AM27" i="9"/>
  <c r="AM34" i="9"/>
  <c r="AL124" i="3"/>
  <c r="AL130" i="3"/>
  <c r="AM29" i="9"/>
  <c r="AM35" i="9"/>
  <c r="AL126" i="3"/>
  <c r="AH30" i="9"/>
  <c r="AL129" i="3"/>
  <c r="AL132" i="3"/>
  <c r="AM30" i="9"/>
  <c r="S31" i="3"/>
  <c r="U31" i="3" s="1"/>
  <c r="G7" i="13" s="1"/>
  <c r="U32" i="3"/>
  <c r="G8" i="13" s="1"/>
  <c r="AW60" i="3"/>
  <c r="I5" i="10" s="1"/>
  <c r="AI60" i="3"/>
  <c r="I5" i="8" s="1"/>
  <c r="M32" i="4"/>
  <c r="I32" i="5"/>
  <c r="X125" i="3"/>
  <c r="AH22" i="7"/>
  <c r="X131" i="3"/>
  <c r="AA32" i="5"/>
  <c r="W32" i="5"/>
  <c r="S32" i="5"/>
  <c r="O32" i="5"/>
  <c r="K32" i="5"/>
  <c r="AC30" i="7"/>
  <c r="AC37" i="7" s="1"/>
  <c r="AC40" i="7" s="1"/>
  <c r="J30" i="8"/>
  <c r="N30" i="8"/>
  <c r="R30" i="8"/>
  <c r="V30" i="8"/>
  <c r="Z30" i="8"/>
  <c r="AM34" i="10"/>
  <c r="AM27" i="10"/>
  <c r="AS130" i="3"/>
  <c r="BF60" i="3"/>
  <c r="I5" i="14" s="1"/>
  <c r="BB107" i="3"/>
  <c r="BB122" i="3"/>
  <c r="BB118" i="3"/>
  <c r="BB114" i="3"/>
  <c r="BB110" i="3"/>
  <c r="BB106" i="3"/>
  <c r="BB121" i="3"/>
  <c r="BB117" i="3"/>
  <c r="BB113" i="3"/>
  <c r="BB109" i="3"/>
  <c r="BB105" i="3"/>
  <c r="BB120" i="3"/>
  <c r="BB116" i="3"/>
  <c r="BB112" i="3"/>
  <c r="BB108" i="3"/>
  <c r="BB104" i="3"/>
  <c r="BB102" i="3"/>
  <c r="BC102" i="3" s="1"/>
  <c r="X129" i="3"/>
  <c r="AC22" i="7"/>
  <c r="Y32" i="5"/>
  <c r="U32" i="5"/>
  <c r="Q32" i="5"/>
  <c r="M32" i="5"/>
  <c r="L24" i="6"/>
  <c r="L30" i="8"/>
  <c r="P30" i="8"/>
  <c r="T30" i="8"/>
  <c r="X30" i="8"/>
  <c r="AM30" i="10"/>
  <c r="AS132" i="3"/>
  <c r="AS128" i="3"/>
  <c r="AA30" i="10"/>
  <c r="Y30" i="10"/>
  <c r="W30" i="10"/>
  <c r="U30" i="10"/>
  <c r="S30" i="10"/>
  <c r="Q30" i="10"/>
  <c r="O30" i="10"/>
  <c r="AB30" i="10"/>
  <c r="Z30" i="10"/>
  <c r="X30" i="10"/>
  <c r="V30" i="10"/>
  <c r="T30" i="10"/>
  <c r="R30" i="10"/>
  <c r="P30" i="10"/>
  <c r="BB115" i="3"/>
  <c r="Y34" i="14"/>
  <c r="U34" i="14"/>
  <c r="Q34" i="14"/>
  <c r="M34" i="14"/>
  <c r="I34" i="14"/>
  <c r="BB103" i="3"/>
  <c r="BB119" i="3"/>
  <c r="AI33" i="8" l="1"/>
  <c r="AI29" i="8"/>
  <c r="AI35" i="8"/>
  <c r="X34" i="14"/>
  <c r="X29" i="14"/>
  <c r="S33" i="8"/>
  <c r="S35" i="8"/>
  <c r="K28" i="5"/>
  <c r="K33" i="5"/>
  <c r="AM44" i="5"/>
  <c r="AM47" i="5" s="1"/>
  <c r="AK41" i="4"/>
  <c r="AF33" i="4"/>
  <c r="Q35" i="10"/>
  <c r="Q33" i="10"/>
  <c r="Q29" i="10"/>
  <c r="L33" i="9"/>
  <c r="L35" i="9"/>
  <c r="K33" i="8"/>
  <c r="K29" i="8"/>
  <c r="K35" i="8"/>
  <c r="Z41" i="5"/>
  <c r="Z39" i="5"/>
  <c r="Z33" i="5"/>
  <c r="Z35" i="5"/>
  <c r="Z28" i="5"/>
  <c r="AB28" i="5"/>
  <c r="AB33" i="5"/>
  <c r="V39" i="4"/>
  <c r="V33" i="4"/>
  <c r="V28" i="4"/>
  <c r="V41" i="4"/>
  <c r="V35" i="4"/>
  <c r="J34" i="14"/>
  <c r="J29" i="14"/>
  <c r="M35" i="10"/>
  <c r="M33" i="10"/>
  <c r="M29" i="10"/>
  <c r="H5" i="13"/>
  <c r="E6" i="14"/>
  <c r="T33" i="9"/>
  <c r="T35" i="9"/>
  <c r="Q33" i="8"/>
  <c r="Q29" i="8"/>
  <c r="Q35" i="8"/>
  <c r="AA28" i="5"/>
  <c r="AA33" i="5"/>
  <c r="Y28" i="4"/>
  <c r="Y41" i="4"/>
  <c r="Y33" i="4"/>
  <c r="Y39" i="4"/>
  <c r="Y35" i="4"/>
  <c r="K33" i="9"/>
  <c r="K35" i="9"/>
  <c r="AH41" i="7"/>
  <c r="AH37" i="7"/>
  <c r="AH38" i="7"/>
  <c r="AH40" i="7"/>
  <c r="AJ30" i="10"/>
  <c r="AJ22" i="10"/>
  <c r="AJ23" i="10"/>
  <c r="AE22" i="10"/>
  <c r="AE23" i="10"/>
  <c r="AE30" i="10"/>
  <c r="Z34" i="9"/>
  <c r="J34" i="9"/>
  <c r="U34" i="9"/>
  <c r="O34" i="9"/>
  <c r="I10" i="9"/>
  <c r="AC33" i="4"/>
  <c r="AC28" i="4"/>
  <c r="AE32" i="8"/>
  <c r="U35" i="9"/>
  <c r="U33" i="9"/>
  <c r="J41" i="5"/>
  <c r="J39" i="5"/>
  <c r="J33" i="5"/>
  <c r="J35" i="5"/>
  <c r="J28" i="5"/>
  <c r="T35" i="10"/>
  <c r="T33" i="10"/>
  <c r="T29" i="10"/>
  <c r="J4" i="13"/>
  <c r="J12" i="13" s="1"/>
  <c r="AW23" i="3"/>
  <c r="I31" i="6"/>
  <c r="M31" i="6"/>
  <c r="Q31" i="6"/>
  <c r="U31" i="6"/>
  <c r="J31" i="6"/>
  <c r="N31" i="6"/>
  <c r="R31" i="6"/>
  <c r="V31" i="6"/>
  <c r="Z31" i="6"/>
  <c r="K31" i="6"/>
  <c r="O31" i="6"/>
  <c r="S31" i="6"/>
  <c r="W31" i="6"/>
  <c r="X31" i="6"/>
  <c r="L31" i="6"/>
  <c r="Y31" i="6"/>
  <c r="AA31" i="6"/>
  <c r="T31" i="6"/>
  <c r="AB31" i="6"/>
  <c r="P31" i="6"/>
  <c r="J32" i="5"/>
  <c r="S29" i="8"/>
  <c r="AD24" i="8"/>
  <c r="T34" i="14"/>
  <c r="T29" i="14"/>
  <c r="AA33" i="8"/>
  <c r="AA29" i="8"/>
  <c r="AA35" i="8"/>
  <c r="I33" i="8"/>
  <c r="I35" i="8"/>
  <c r="X35" i="5"/>
  <c r="X28" i="5"/>
  <c r="X41" i="5"/>
  <c r="X39" i="5"/>
  <c r="X33" i="5"/>
  <c r="S28" i="5"/>
  <c r="S33" i="5"/>
  <c r="Q28" i="4"/>
  <c r="Q41" i="4"/>
  <c r="Q33" i="4"/>
  <c r="Q39" i="4"/>
  <c r="Q35" i="4"/>
  <c r="X33" i="9"/>
  <c r="X35" i="9"/>
  <c r="N34" i="14"/>
  <c r="N29" i="14"/>
  <c r="Z35" i="10"/>
  <c r="Z33" i="10"/>
  <c r="Z29" i="10"/>
  <c r="O33" i="9"/>
  <c r="O35" i="9"/>
  <c r="W28" i="5"/>
  <c r="W41" i="5"/>
  <c r="W33" i="5"/>
  <c r="W35" i="5"/>
  <c r="W39" i="5"/>
  <c r="V33" i="5"/>
  <c r="V28" i="5"/>
  <c r="W41" i="4"/>
  <c r="W28" i="4"/>
  <c r="W33" i="4"/>
  <c r="W39" i="4"/>
  <c r="W35" i="4"/>
  <c r="Y32" i="4"/>
  <c r="AM41" i="7"/>
  <c r="AM38" i="7"/>
  <c r="AM40" i="7"/>
  <c r="AM37" i="7"/>
  <c r="AL30" i="10"/>
  <c r="AL22" i="10"/>
  <c r="AL24" i="10" s="1"/>
  <c r="AL23" i="10"/>
  <c r="AL32" i="10"/>
  <c r="AF30" i="10"/>
  <c r="AF23" i="10"/>
  <c r="AF22" i="10"/>
  <c r="AB32" i="10"/>
  <c r="AB33" i="10"/>
  <c r="AD23" i="10"/>
  <c r="AD32" i="10"/>
  <c r="AD30" i="10"/>
  <c r="AD22" i="10"/>
  <c r="AD24" i="10" s="1"/>
  <c r="I29" i="6"/>
  <c r="T29" i="9"/>
  <c r="AI32" i="8"/>
  <c r="S35" i="10"/>
  <c r="S33" i="10"/>
  <c r="S29" i="10"/>
  <c r="P33" i="8"/>
  <c r="P35" i="8"/>
  <c r="L28" i="5"/>
  <c r="L33" i="5"/>
  <c r="K35" i="10"/>
  <c r="K33" i="10"/>
  <c r="K29" i="10"/>
  <c r="P35" i="5"/>
  <c r="P28" i="5"/>
  <c r="P41" i="5"/>
  <c r="P39" i="5"/>
  <c r="P33" i="5"/>
  <c r="AB31" i="9"/>
  <c r="X31" i="9"/>
  <c r="T31" i="9"/>
  <c r="P31" i="9"/>
  <c r="L31" i="9"/>
  <c r="AH31" i="9"/>
  <c r="AA31" i="9"/>
  <c r="W31" i="9"/>
  <c r="S31" i="9"/>
  <c r="O31" i="9"/>
  <c r="K31" i="9"/>
  <c r="V31" i="9"/>
  <c r="N31" i="9"/>
  <c r="AC31" i="9"/>
  <c r="Y31" i="9"/>
  <c r="U31" i="9"/>
  <c r="Q31" i="9"/>
  <c r="M31" i="9"/>
  <c r="I31" i="9"/>
  <c r="Z31" i="9"/>
  <c r="R31" i="9"/>
  <c r="J31" i="9"/>
  <c r="AK33" i="4"/>
  <c r="AK35" i="4"/>
  <c r="O18" i="9"/>
  <c r="AM109" i="3"/>
  <c r="AK28" i="4"/>
  <c r="AB34" i="14"/>
  <c r="AB29" i="14"/>
  <c r="Y35" i="10"/>
  <c r="Y33" i="10"/>
  <c r="Y29" i="10"/>
  <c r="W33" i="9"/>
  <c r="W35" i="9"/>
  <c r="Y33" i="8"/>
  <c r="Y35" i="8"/>
  <c r="O28" i="5"/>
  <c r="O41" i="5"/>
  <c r="O33" i="5"/>
  <c r="O35" i="5"/>
  <c r="O39" i="5"/>
  <c r="N33" i="5"/>
  <c r="N28" i="5"/>
  <c r="O41" i="4"/>
  <c r="O28" i="4"/>
  <c r="O33" i="4"/>
  <c r="O39" i="4"/>
  <c r="O35" i="4"/>
  <c r="P34" i="14"/>
  <c r="P29" i="14"/>
  <c r="P35" i="10"/>
  <c r="P33" i="10"/>
  <c r="P29" i="10"/>
  <c r="X33" i="8"/>
  <c r="X35" i="8"/>
  <c r="R41" i="5"/>
  <c r="R39" i="5"/>
  <c r="R33" i="5"/>
  <c r="R35" i="5"/>
  <c r="R28" i="5"/>
  <c r="T28" i="5"/>
  <c r="T33" i="5"/>
  <c r="N39" i="4"/>
  <c r="N33" i="4"/>
  <c r="N28" i="4"/>
  <c r="N41" i="4"/>
  <c r="N35" i="4"/>
  <c r="Q32" i="4"/>
  <c r="AG30" i="10"/>
  <c r="AG23" i="10"/>
  <c r="AG32" i="10" s="1"/>
  <c r="AG22" i="10"/>
  <c r="AB33" i="9"/>
  <c r="X29" i="9"/>
  <c r="K29" i="9"/>
  <c r="AD35" i="8"/>
  <c r="AD33" i="8"/>
  <c r="AD29" i="8"/>
  <c r="AL19" i="9"/>
  <c r="AA33" i="7"/>
  <c r="S33" i="7"/>
  <c r="K33" i="7"/>
  <c r="Z33" i="7"/>
  <c r="R33" i="7"/>
  <c r="J33" i="7"/>
  <c r="Y33" i="7"/>
  <c r="Q33" i="7"/>
  <c r="I33" i="7"/>
  <c r="X33" i="7"/>
  <c r="P33" i="7"/>
  <c r="U33" i="7"/>
  <c r="M33" i="7"/>
  <c r="AB33" i="7"/>
  <c r="T33" i="7"/>
  <c r="L33" i="7"/>
  <c r="I10" i="7"/>
  <c r="V33" i="7"/>
  <c r="W33" i="7"/>
  <c r="N33" i="7"/>
  <c r="O33" i="7"/>
  <c r="G22" i="3"/>
  <c r="E23" i="3"/>
  <c r="Z19" i="8"/>
  <c r="L19" i="5"/>
  <c r="AD19" i="5"/>
  <c r="AH33" i="10"/>
  <c r="AH35" i="10"/>
  <c r="AH29" i="10"/>
  <c r="BC103" i="3"/>
  <c r="L34" i="6"/>
  <c r="L29" i="6"/>
  <c r="BC104" i="3"/>
  <c r="BC105" i="3" s="1"/>
  <c r="BC106" i="3" s="1"/>
  <c r="BC107" i="3" s="1"/>
  <c r="BC108" i="3" s="1"/>
  <c r="BC109" i="3" s="1"/>
  <c r="BC110" i="3" s="1"/>
  <c r="BC111" i="3" s="1"/>
  <c r="BC112" i="3" s="1"/>
  <c r="BC113" i="3" s="1"/>
  <c r="BC114" i="3" s="1"/>
  <c r="BC115" i="3" s="1"/>
  <c r="BC116" i="3" s="1"/>
  <c r="BC117" i="3" s="1"/>
  <c r="BC118" i="3" s="1"/>
  <c r="BC119" i="3" s="1"/>
  <c r="BC120" i="3" s="1"/>
  <c r="BC121" i="3" s="1"/>
  <c r="BC122" i="3" s="1"/>
  <c r="I10" i="14"/>
  <c r="O33" i="14"/>
  <c r="W33" i="14"/>
  <c r="L33" i="14"/>
  <c r="T33" i="14"/>
  <c r="AB33" i="14"/>
  <c r="M33" i="14"/>
  <c r="Y33" i="14"/>
  <c r="P33" i="14"/>
  <c r="Z33" i="14"/>
  <c r="Q33" i="14"/>
  <c r="AA33" i="14"/>
  <c r="R33" i="14"/>
  <c r="I33" i="14"/>
  <c r="S33" i="14"/>
  <c r="J33" i="14"/>
  <c r="V33" i="14"/>
  <c r="X33" i="14"/>
  <c r="K33" i="14"/>
  <c r="N33" i="14"/>
  <c r="U33" i="14"/>
  <c r="Z34" i="8"/>
  <c r="V34" i="8"/>
  <c r="R34" i="8"/>
  <c r="N34" i="8"/>
  <c r="J34" i="8"/>
  <c r="I10" i="8"/>
  <c r="Y34" i="8"/>
  <c r="U34" i="8"/>
  <c r="Q34" i="8"/>
  <c r="M34" i="8"/>
  <c r="I34" i="8"/>
  <c r="AH34" i="8"/>
  <c r="AB34" i="8"/>
  <c r="X34" i="8"/>
  <c r="T34" i="8"/>
  <c r="P34" i="8"/>
  <c r="L34" i="8"/>
  <c r="O34" i="8"/>
  <c r="AC34" i="8"/>
  <c r="AI34" i="8"/>
  <c r="AA34" i="8"/>
  <c r="K34" i="8"/>
  <c r="W34" i="8"/>
  <c r="AF34" i="8"/>
  <c r="S34" i="8"/>
  <c r="AE34" i="8"/>
  <c r="AG34" i="8"/>
  <c r="AJ34" i="8"/>
  <c r="AK34" i="8"/>
  <c r="AL34" i="8"/>
  <c r="AG19" i="9"/>
  <c r="AE19" i="9"/>
  <c r="AH19" i="9"/>
  <c r="AD19" i="9"/>
  <c r="AN23" i="3"/>
  <c r="AP22" i="3"/>
  <c r="AE19" i="5"/>
  <c r="L19" i="8"/>
  <c r="T19" i="8"/>
  <c r="AB19" i="8"/>
  <c r="AJ19" i="5"/>
  <c r="N19" i="5"/>
  <c r="V19" i="5"/>
  <c r="AK19" i="5"/>
  <c r="AC19" i="5"/>
  <c r="G5" i="13"/>
  <c r="G13" i="13" s="1"/>
  <c r="E6" i="6"/>
  <c r="AL35" i="10"/>
  <c r="AL33" i="10"/>
  <c r="AL29" i="10"/>
  <c r="AI41" i="4"/>
  <c r="AI39" i="4"/>
  <c r="AI33" i="4"/>
  <c r="AI28" i="4"/>
  <c r="AI32" i="4"/>
  <c r="AI35" i="4"/>
  <c r="AG33" i="4"/>
  <c r="AG28" i="4"/>
  <c r="H48" i="5"/>
  <c r="AL19" i="7"/>
  <c r="Y131" i="3"/>
  <c r="AL18" i="7" s="1"/>
  <c r="AI19" i="9"/>
  <c r="J19" i="8"/>
  <c r="AF103" i="3"/>
  <c r="K103" i="3"/>
  <c r="J19" i="5"/>
  <c r="AC35" i="8"/>
  <c r="AC33" i="8"/>
  <c r="AK24" i="7"/>
  <c r="AK31" i="7"/>
  <c r="AK38" i="7"/>
  <c r="AK27" i="7"/>
  <c r="AK33" i="7"/>
  <c r="AK22" i="7"/>
  <c r="AK23" i="7"/>
  <c r="AK30" i="7"/>
  <c r="AK32" i="7"/>
  <c r="AK29" i="7"/>
  <c r="AK37" i="7"/>
  <c r="AK41" i="7"/>
  <c r="AK40" i="7"/>
  <c r="AK34" i="7"/>
  <c r="AB33" i="4"/>
  <c r="AB28" i="4"/>
  <c r="AB32" i="4"/>
  <c r="AB39" i="4"/>
  <c r="AB35" i="4"/>
  <c r="AB41" i="4"/>
  <c r="AI19" i="10"/>
  <c r="AK19" i="10"/>
  <c r="Y125" i="3"/>
  <c r="AF18" i="7" s="1"/>
  <c r="AF19" i="7"/>
  <c r="Y34" i="10"/>
  <c r="U34" i="10"/>
  <c r="Q34" i="10"/>
  <c r="AB34" i="10"/>
  <c r="X34" i="10"/>
  <c r="T34" i="10"/>
  <c r="P34" i="10"/>
  <c r="Z34" i="10"/>
  <c r="V34" i="10"/>
  <c r="R34" i="10"/>
  <c r="N34" i="10"/>
  <c r="J34" i="10"/>
  <c r="AJ34" i="10"/>
  <c r="W34" i="10"/>
  <c r="L34" i="10"/>
  <c r="S34" i="10"/>
  <c r="K34" i="10"/>
  <c r="O34" i="10"/>
  <c r="I10" i="10"/>
  <c r="AL34" i="10"/>
  <c r="AD34" i="10"/>
  <c r="AH34" i="10"/>
  <c r="AG34" i="10"/>
  <c r="AE34" i="10"/>
  <c r="I34" i="10"/>
  <c r="AA34" i="10"/>
  <c r="AF34" i="10"/>
  <c r="AC34" i="10"/>
  <c r="M34" i="10"/>
  <c r="AM19" i="9"/>
  <c r="AF19" i="9"/>
  <c r="AI19" i="5"/>
  <c r="N19" i="8"/>
  <c r="V19" i="8"/>
  <c r="AF19" i="5"/>
  <c r="AL19" i="5"/>
  <c r="P19" i="5"/>
  <c r="X19" i="5"/>
  <c r="AG19" i="5"/>
  <c r="E6" i="5"/>
  <c r="D5" i="13"/>
  <c r="D13" i="13" s="1"/>
  <c r="AC41" i="5"/>
  <c r="AC33" i="5"/>
  <c r="AC28" i="5"/>
  <c r="AC35" i="5"/>
  <c r="AC39" i="5"/>
  <c r="AC32" i="5"/>
  <c r="AJ33" i="4"/>
  <c r="AJ28" i="4"/>
  <c r="AJ39" i="4"/>
  <c r="AJ32" i="4"/>
  <c r="AJ35" i="4"/>
  <c r="AF23" i="6"/>
  <c r="AF29" i="6"/>
  <c r="AF27" i="6"/>
  <c r="AF38" i="6"/>
  <c r="AF32" i="6"/>
  <c r="AF34" i="6"/>
  <c r="AF33" i="6"/>
  <c r="AF24" i="6"/>
  <c r="AF37" i="6"/>
  <c r="AF31" i="6"/>
  <c r="AF41" i="6"/>
  <c r="AF22" i="6"/>
  <c r="AF30" i="6"/>
  <c r="AF40" i="6"/>
  <c r="AD39" i="4"/>
  <c r="AD32" i="4"/>
  <c r="AD41" i="4"/>
  <c r="AD33" i="4"/>
  <c r="AD28" i="4"/>
  <c r="AD35" i="4"/>
  <c r="AD34" i="8"/>
  <c r="AK19" i="9"/>
  <c r="AD23" i="7"/>
  <c r="AD30" i="7"/>
  <c r="AD41" i="7"/>
  <c r="AD24" i="7"/>
  <c r="AD31" i="7"/>
  <c r="AD38" i="7"/>
  <c r="AD22" i="7"/>
  <c r="AD29" i="7"/>
  <c r="AD32" i="7"/>
  <c r="AD33" i="7"/>
  <c r="AD37" i="7"/>
  <c r="AD34" i="7"/>
  <c r="AD27" i="7"/>
  <c r="AD40" i="7"/>
  <c r="R19" i="8"/>
  <c r="T19" i="5"/>
  <c r="Y103" i="3"/>
  <c r="I18" i="7"/>
  <c r="H18" i="7" s="1"/>
  <c r="G18" i="7" s="1"/>
  <c r="F18" i="7" s="1"/>
  <c r="J18" i="10"/>
  <c r="AT104" i="3"/>
  <c r="AM19" i="10"/>
  <c r="AJ19" i="7"/>
  <c r="Y129" i="3"/>
  <c r="AJ18" i="7" s="1"/>
  <c r="G15" i="13"/>
  <c r="AJ19" i="9"/>
  <c r="E6" i="7"/>
  <c r="I5" i="13"/>
  <c r="I13" i="13" s="1"/>
  <c r="AE24" i="7"/>
  <c r="AE31" i="7"/>
  <c r="AE27" i="7"/>
  <c r="AE33" i="7"/>
  <c r="AE41" i="7"/>
  <c r="AE22" i="7"/>
  <c r="AE23" i="7"/>
  <c r="AE30" i="7"/>
  <c r="AE37" i="7"/>
  <c r="AE29" i="7"/>
  <c r="AE34" i="7"/>
  <c r="AE32" i="7"/>
  <c r="AE38" i="7"/>
  <c r="AE40" i="7"/>
  <c r="AI22" i="3"/>
  <c r="AG23" i="3"/>
  <c r="J33" i="6"/>
  <c r="M33" i="6"/>
  <c r="Q33" i="6"/>
  <c r="U33" i="6"/>
  <c r="Y33" i="6"/>
  <c r="K33" i="6"/>
  <c r="P33" i="6"/>
  <c r="V33" i="6"/>
  <c r="AA33" i="6"/>
  <c r="L33" i="6"/>
  <c r="R33" i="6"/>
  <c r="W33" i="6"/>
  <c r="AB33" i="6"/>
  <c r="I33" i="6"/>
  <c r="N33" i="6"/>
  <c r="S33" i="6"/>
  <c r="X33" i="6"/>
  <c r="Z33" i="6"/>
  <c r="I10" i="6"/>
  <c r="O33" i="6"/>
  <c r="T33" i="6"/>
  <c r="P19" i="8"/>
  <c r="X19" i="8"/>
  <c r="AH19" i="5"/>
  <c r="R19" i="5"/>
  <c r="Z19" i="5"/>
  <c r="I40" i="4"/>
  <c r="X40" i="4"/>
  <c r="T40" i="4"/>
  <c r="P40" i="4"/>
  <c r="L40" i="4"/>
  <c r="AA40" i="4"/>
  <c r="W40" i="4"/>
  <c r="S40" i="4"/>
  <c r="O40" i="4"/>
  <c r="K40" i="4"/>
  <c r="AC40" i="4"/>
  <c r="Y40" i="4"/>
  <c r="U40" i="4"/>
  <c r="Q40" i="4"/>
  <c r="M40" i="4"/>
  <c r="I10" i="4"/>
  <c r="Z40" i="4"/>
  <c r="J40" i="4"/>
  <c r="V40" i="4"/>
  <c r="R40" i="4"/>
  <c r="N40" i="4"/>
  <c r="AE40" i="4"/>
  <c r="AB40" i="4"/>
  <c r="AG40" i="4"/>
  <c r="AK40" i="4"/>
  <c r="AF40" i="4"/>
  <c r="AH40" i="4"/>
  <c r="AD40" i="4"/>
  <c r="AL40" i="4"/>
  <c r="AI40" i="4"/>
  <c r="AD31" i="10"/>
  <c r="AC31" i="10"/>
  <c r="AG31" i="10"/>
  <c r="Y31" i="10"/>
  <c r="U31" i="10"/>
  <c r="Q31" i="10"/>
  <c r="M31" i="10"/>
  <c r="AH31" i="10"/>
  <c r="AL31" i="10"/>
  <c r="AE31" i="10"/>
  <c r="AA31" i="10"/>
  <c r="W31" i="10"/>
  <c r="S31" i="10"/>
  <c r="O31" i="10"/>
  <c r="K31" i="10"/>
  <c r="AJ31" i="10"/>
  <c r="Z31" i="10"/>
  <c r="R31" i="10"/>
  <c r="J31" i="10"/>
  <c r="I31" i="10"/>
  <c r="X31" i="10"/>
  <c r="P31" i="10"/>
  <c r="AB31" i="10"/>
  <c r="T31" i="10"/>
  <c r="L31" i="10"/>
  <c r="AF31" i="10"/>
  <c r="V31" i="10"/>
  <c r="N31" i="10"/>
  <c r="AH29" i="9"/>
  <c r="AH35" i="9"/>
  <c r="AH33" i="9"/>
  <c r="AK24" i="8"/>
  <c r="AK32" i="8"/>
  <c r="AF32" i="14"/>
  <c r="AF31" i="14"/>
  <c r="AF37" i="14"/>
  <c r="AF23" i="14"/>
  <c r="AF29" i="14"/>
  <c r="AF22" i="14"/>
  <c r="AF40" i="14"/>
  <c r="AF30" i="14"/>
  <c r="AF41" i="14"/>
  <c r="AF33" i="14"/>
  <c r="AF27" i="14"/>
  <c r="AF38" i="14"/>
  <c r="AF34" i="14"/>
  <c r="AF24" i="14"/>
  <c r="AL33" i="8"/>
  <c r="AL35" i="8"/>
  <c r="AL29" i="8"/>
  <c r="AD32" i="8"/>
  <c r="J18" i="4"/>
  <c r="D104" i="3"/>
  <c r="M18" i="6"/>
  <c r="R107" i="3"/>
  <c r="M18" i="14"/>
  <c r="AD33" i="10" l="1"/>
  <c r="AD35" i="10"/>
  <c r="AD29" i="10"/>
  <c r="AG24" i="10"/>
  <c r="AM110" i="3"/>
  <c r="P18" i="9"/>
  <c r="E6" i="10"/>
  <c r="J5" i="13"/>
  <c r="AJ32" i="10"/>
  <c r="AJ24" i="10"/>
  <c r="I27" i="14"/>
  <c r="I37" i="14" s="1"/>
  <c r="I40" i="14" s="1"/>
  <c r="Q27" i="14"/>
  <c r="Q37" i="14" s="1"/>
  <c r="Q40" i="14" s="1"/>
  <c r="Y27" i="14"/>
  <c r="N27" i="14"/>
  <c r="N37" i="14" s="1"/>
  <c r="N40" i="14" s="1"/>
  <c r="V27" i="14"/>
  <c r="M27" i="14"/>
  <c r="M37" i="14" s="1"/>
  <c r="M40" i="14" s="1"/>
  <c r="Z27" i="14"/>
  <c r="K27" i="14"/>
  <c r="K37" i="14" s="1"/>
  <c r="K40" i="14" s="1"/>
  <c r="S27" i="14"/>
  <c r="S37" i="14" s="1"/>
  <c r="S40" i="14" s="1"/>
  <c r="AA27" i="14"/>
  <c r="AA37" i="14" s="1"/>
  <c r="AA40" i="14" s="1"/>
  <c r="P27" i="14"/>
  <c r="X27" i="14"/>
  <c r="X37" i="14" s="1"/>
  <c r="X40" i="14" s="1"/>
  <c r="U27" i="14"/>
  <c r="R27" i="14"/>
  <c r="O27" i="14"/>
  <c r="O37" i="14" s="1"/>
  <c r="O40" i="14" s="1"/>
  <c r="W27" i="14"/>
  <c r="W37" i="14" s="1"/>
  <c r="W40" i="14" s="1"/>
  <c r="L27" i="14"/>
  <c r="T27" i="14"/>
  <c r="AB27" i="14"/>
  <c r="AB37" i="14" s="1"/>
  <c r="AB40" i="14" s="1"/>
  <c r="J27" i="14"/>
  <c r="J37" i="14" s="1"/>
  <c r="J40" i="14" s="1"/>
  <c r="L37" i="14"/>
  <c r="L40" i="14" s="1"/>
  <c r="Z37" i="14"/>
  <c r="Z40" i="14" s="1"/>
  <c r="AF24" i="10"/>
  <c r="AF32" i="10"/>
  <c r="H15" i="13"/>
  <c r="H13" i="13"/>
  <c r="Y37" i="14"/>
  <c r="Y40" i="14" s="1"/>
  <c r="H36" i="9"/>
  <c r="H38" i="9" s="1"/>
  <c r="H41" i="9" s="1"/>
  <c r="G36" i="9"/>
  <c r="G38" i="9" s="1"/>
  <c r="F36" i="9"/>
  <c r="F38" i="9" s="1"/>
  <c r="F39" i="9" s="1"/>
  <c r="F41" i="9" s="1"/>
  <c r="F42" i="9" s="1"/>
  <c r="U37" i="14"/>
  <c r="U40" i="14" s="1"/>
  <c r="V37" i="14"/>
  <c r="V40" i="14" s="1"/>
  <c r="R37" i="14"/>
  <c r="R40" i="14" s="1"/>
  <c r="P37" i="14"/>
  <c r="P40" i="14" s="1"/>
  <c r="T37" i="14"/>
  <c r="T40" i="14" s="1"/>
  <c r="AE24" i="10"/>
  <c r="AE32" i="10"/>
  <c r="D105" i="3"/>
  <c r="K18" i="4"/>
  <c r="AK29" i="8"/>
  <c r="AK35" i="8"/>
  <c r="AK33" i="8"/>
  <c r="G16" i="13"/>
  <c r="H16" i="13"/>
  <c r="AM38" i="10"/>
  <c r="AM41" i="10" s="1"/>
  <c r="I31" i="5"/>
  <c r="I44" i="5" s="1"/>
  <c r="L31" i="5"/>
  <c r="L44" i="5" s="1"/>
  <c r="L47" i="5" s="1"/>
  <c r="P31" i="5"/>
  <c r="P44" i="5" s="1"/>
  <c r="P47" i="5" s="1"/>
  <c r="T31" i="5"/>
  <c r="T44" i="5" s="1"/>
  <c r="T47" i="5" s="1"/>
  <c r="X31" i="5"/>
  <c r="X44" i="5" s="1"/>
  <c r="X47" i="5" s="1"/>
  <c r="Z31" i="5"/>
  <c r="Z44" i="5" s="1"/>
  <c r="Z47" i="5" s="1"/>
  <c r="K31" i="5"/>
  <c r="K44" i="5" s="1"/>
  <c r="K47" i="5" s="1"/>
  <c r="O31" i="5"/>
  <c r="O44" i="5" s="1"/>
  <c r="O47" i="5" s="1"/>
  <c r="S31" i="5"/>
  <c r="S44" i="5" s="1"/>
  <c r="S47" i="5" s="1"/>
  <c r="W31" i="5"/>
  <c r="W44" i="5" s="1"/>
  <c r="W47" i="5" s="1"/>
  <c r="J31" i="5"/>
  <c r="J44" i="5" s="1"/>
  <c r="J47" i="5" s="1"/>
  <c r="R31" i="5"/>
  <c r="R44" i="5" s="1"/>
  <c r="R47" i="5" s="1"/>
  <c r="AC31" i="5"/>
  <c r="AB31" i="5"/>
  <c r="AB44" i="5" s="1"/>
  <c r="AB47" i="5" s="1"/>
  <c r="M31" i="5"/>
  <c r="M44" i="5" s="1"/>
  <c r="M47" i="5" s="1"/>
  <c r="U31" i="5"/>
  <c r="U44" i="5" s="1"/>
  <c r="U47" i="5" s="1"/>
  <c r="AH31" i="5"/>
  <c r="AH44" i="5" s="1"/>
  <c r="AH47" i="5" s="1"/>
  <c r="N31" i="5"/>
  <c r="N44" i="5" s="1"/>
  <c r="N47" i="5" s="1"/>
  <c r="V31" i="5"/>
  <c r="V44" i="5" s="1"/>
  <c r="V47" i="5" s="1"/>
  <c r="Q31" i="5"/>
  <c r="Q44" i="5" s="1"/>
  <c r="Q47" i="5" s="1"/>
  <c r="Y31" i="5"/>
  <c r="Y44" i="5" s="1"/>
  <c r="Y47" i="5" s="1"/>
  <c r="AA31" i="5"/>
  <c r="AA44" i="5" s="1"/>
  <c r="AA47" i="5" s="1"/>
  <c r="AL24" i="5"/>
  <c r="AL23" i="5"/>
  <c r="AL27" i="5" s="1"/>
  <c r="AL31" i="5" s="1"/>
  <c r="AL40" i="5"/>
  <c r="AL25" i="5"/>
  <c r="AL36" i="5"/>
  <c r="AL22" i="5"/>
  <c r="AL26" i="5"/>
  <c r="AL32" i="5" s="1"/>
  <c r="AL37" i="5"/>
  <c r="AL38" i="5"/>
  <c r="AL41" i="5"/>
  <c r="AI22" i="5"/>
  <c r="AI38" i="5" s="1"/>
  <c r="AI24" i="5"/>
  <c r="AI26" i="5"/>
  <c r="AI32" i="5" s="1"/>
  <c r="AI40" i="5"/>
  <c r="AI37" i="5"/>
  <c r="AI23" i="5"/>
  <c r="AI25" i="5"/>
  <c r="AI36" i="5"/>
  <c r="AM38" i="9"/>
  <c r="AM41" i="9" s="1"/>
  <c r="J18" i="5"/>
  <c r="K104" i="3"/>
  <c r="AI30" i="9"/>
  <c r="AI34" i="9"/>
  <c r="AI23" i="9"/>
  <c r="AI32" i="9"/>
  <c r="AI22" i="9"/>
  <c r="AI24" i="9" s="1"/>
  <c r="AI29" i="9" s="1"/>
  <c r="AI31" i="9"/>
  <c r="AC44" i="5"/>
  <c r="AC47" i="5" s="1"/>
  <c r="AJ22" i="5"/>
  <c r="AJ26" i="5" s="1"/>
  <c r="AJ24" i="5"/>
  <c r="AJ40" i="5"/>
  <c r="AJ23" i="5"/>
  <c r="AJ27" i="5" s="1"/>
  <c r="AJ31" i="5" s="1"/>
  <c r="AJ36" i="5"/>
  <c r="AJ25" i="5"/>
  <c r="AJ37" i="5"/>
  <c r="AE23" i="5"/>
  <c r="AE27" i="5" s="1"/>
  <c r="AE31" i="5" s="1"/>
  <c r="AE40" i="5"/>
  <c r="AE22" i="5"/>
  <c r="AE25" i="5"/>
  <c r="AE36" i="5"/>
  <c r="AE24" i="5"/>
  <c r="AE38" i="5" s="1"/>
  <c r="AE37" i="5"/>
  <c r="AD22" i="9"/>
  <c r="AD30" i="9"/>
  <c r="AD31" i="9"/>
  <c r="AD23" i="9"/>
  <c r="AD32" i="9"/>
  <c r="AD34" i="9"/>
  <c r="AE30" i="9"/>
  <c r="AE34" i="9"/>
  <c r="AE23" i="9"/>
  <c r="AE24" i="9" s="1"/>
  <c r="AE22" i="9"/>
  <c r="AE31" i="9"/>
  <c r="AL34" i="9"/>
  <c r="AL30" i="9"/>
  <c r="AL23" i="9"/>
  <c r="AL22" i="9"/>
  <c r="AL24" i="9" s="1"/>
  <c r="AL31" i="9"/>
  <c r="H42" i="4"/>
  <c r="H44" i="4" s="1"/>
  <c r="F42" i="4"/>
  <c r="F44" i="4" s="1"/>
  <c r="F45" i="4" s="1"/>
  <c r="F47" i="4" s="1"/>
  <c r="F48" i="4" s="1"/>
  <c r="G42" i="4"/>
  <c r="G44" i="4" s="1"/>
  <c r="AA27" i="7"/>
  <c r="AA37" i="7" s="1"/>
  <c r="AA40" i="7" s="1"/>
  <c r="S27" i="7"/>
  <c r="S37" i="7" s="1"/>
  <c r="S40" i="7" s="1"/>
  <c r="K27" i="7"/>
  <c r="K37" i="7" s="1"/>
  <c r="K40" i="7" s="1"/>
  <c r="Z27" i="7"/>
  <c r="Z37" i="7" s="1"/>
  <c r="Z40" i="7" s="1"/>
  <c r="R27" i="7"/>
  <c r="R37" i="7" s="1"/>
  <c r="R40" i="7" s="1"/>
  <c r="J27" i="7"/>
  <c r="J37" i="7" s="1"/>
  <c r="J40" i="7" s="1"/>
  <c r="U27" i="7"/>
  <c r="U37" i="7" s="1"/>
  <c r="U40" i="7" s="1"/>
  <c r="M27" i="7"/>
  <c r="M37" i="7" s="1"/>
  <c r="M40" i="7" s="1"/>
  <c r="AB27" i="7"/>
  <c r="AB37" i="7" s="1"/>
  <c r="AB40" i="7" s="1"/>
  <c r="T27" i="7"/>
  <c r="T37" i="7" s="1"/>
  <c r="T40" i="7" s="1"/>
  <c r="L27" i="7"/>
  <c r="L37" i="7" s="1"/>
  <c r="L40" i="7" s="1"/>
  <c r="Y27" i="7"/>
  <c r="Y37" i="7" s="1"/>
  <c r="Y40" i="7" s="1"/>
  <c r="Q27" i="7"/>
  <c r="Q37" i="7" s="1"/>
  <c r="Q40" i="7" s="1"/>
  <c r="I27" i="7"/>
  <c r="I37" i="7" s="1"/>
  <c r="I40" i="7" s="1"/>
  <c r="X27" i="7"/>
  <c r="X37" i="7" s="1"/>
  <c r="X40" i="7" s="1"/>
  <c r="P27" i="7"/>
  <c r="P37" i="7" s="1"/>
  <c r="P40" i="7" s="1"/>
  <c r="W27" i="7"/>
  <c r="W37" i="7" s="1"/>
  <c r="W40" i="7" s="1"/>
  <c r="V27" i="7"/>
  <c r="V37" i="7" s="1"/>
  <c r="V40" i="7" s="1"/>
  <c r="N27" i="7"/>
  <c r="N37" i="7" s="1"/>
  <c r="N40" i="7" s="1"/>
  <c r="O27" i="7"/>
  <c r="O37" i="7" s="1"/>
  <c r="O40" i="7" s="1"/>
  <c r="J18" i="8"/>
  <c r="AF104" i="3"/>
  <c r="J27" i="6"/>
  <c r="J37" i="6" s="1"/>
  <c r="J40" i="6" s="1"/>
  <c r="N27" i="6"/>
  <c r="N37" i="6" s="1"/>
  <c r="N40" i="6" s="1"/>
  <c r="M27" i="6"/>
  <c r="M37" i="6" s="1"/>
  <c r="M40" i="6" s="1"/>
  <c r="P27" i="6"/>
  <c r="P37" i="6" s="1"/>
  <c r="P40" i="6" s="1"/>
  <c r="T27" i="6"/>
  <c r="T37" i="6" s="1"/>
  <c r="T40" i="6" s="1"/>
  <c r="X27" i="6"/>
  <c r="X37" i="6" s="1"/>
  <c r="X40" i="6" s="1"/>
  <c r="AB27" i="6"/>
  <c r="AB37" i="6" s="1"/>
  <c r="AB40" i="6" s="1"/>
  <c r="K27" i="6"/>
  <c r="K37" i="6" s="1"/>
  <c r="K40" i="6" s="1"/>
  <c r="O27" i="6"/>
  <c r="O37" i="6" s="1"/>
  <c r="O40" i="6" s="1"/>
  <c r="S27" i="6"/>
  <c r="S37" i="6" s="1"/>
  <c r="S40" i="6" s="1"/>
  <c r="W27" i="6"/>
  <c r="W37" i="6" s="1"/>
  <c r="W40" i="6" s="1"/>
  <c r="AA27" i="6"/>
  <c r="AA37" i="6" s="1"/>
  <c r="AA40" i="6" s="1"/>
  <c r="I27" i="6"/>
  <c r="I37" i="6" s="1"/>
  <c r="I40" i="6" s="1"/>
  <c r="L27" i="6"/>
  <c r="L37" i="6" s="1"/>
  <c r="L40" i="6" s="1"/>
  <c r="R27" i="6"/>
  <c r="R37" i="6" s="1"/>
  <c r="R40" i="6" s="1"/>
  <c r="V27" i="6"/>
  <c r="V37" i="6" s="1"/>
  <c r="V40" i="6" s="1"/>
  <c r="Z27" i="6"/>
  <c r="Z37" i="6" s="1"/>
  <c r="Z40" i="6" s="1"/>
  <c r="Q27" i="6"/>
  <c r="Q37" i="6" s="1"/>
  <c r="Q40" i="6" s="1"/>
  <c r="U27" i="6"/>
  <c r="U37" i="6" s="1"/>
  <c r="U40" i="6" s="1"/>
  <c r="Y27" i="6"/>
  <c r="Y37" i="6" s="1"/>
  <c r="Y40" i="6" s="1"/>
  <c r="AP23" i="3"/>
  <c r="F4" i="13"/>
  <c r="F12" i="13" s="1"/>
  <c r="C4" i="13"/>
  <c r="C12" i="13" s="1"/>
  <c r="G23" i="3"/>
  <c r="AJ22" i="7"/>
  <c r="AJ23" i="7"/>
  <c r="AJ30" i="7"/>
  <c r="AJ24" i="7"/>
  <c r="AJ31" i="7"/>
  <c r="AJ41" i="7"/>
  <c r="AJ29" i="7"/>
  <c r="AJ38" i="7"/>
  <c r="AJ32" i="7"/>
  <c r="AJ33" i="7"/>
  <c r="AJ37" i="7"/>
  <c r="AJ34" i="7"/>
  <c r="AJ40" i="7"/>
  <c r="AJ27" i="7"/>
  <c r="J18" i="7"/>
  <c r="Y104" i="3"/>
  <c r="AK30" i="9"/>
  <c r="AK23" i="9"/>
  <c r="AK34" i="9"/>
  <c r="AK31" i="9"/>
  <c r="AK22" i="9"/>
  <c r="AG24" i="5"/>
  <c r="AG23" i="5"/>
  <c r="AG25" i="5"/>
  <c r="AG27" i="5" s="1"/>
  <c r="AG31" i="5" s="1"/>
  <c r="AG40" i="5"/>
  <c r="AG36" i="5"/>
  <c r="AG37" i="5"/>
  <c r="AG22" i="5"/>
  <c r="AG26" i="5" s="1"/>
  <c r="AF22" i="5"/>
  <c r="AF40" i="5"/>
  <c r="AF23" i="5"/>
  <c r="AF25" i="5"/>
  <c r="AF36" i="5"/>
  <c r="AF37" i="5"/>
  <c r="AF24" i="5"/>
  <c r="AF23" i="9"/>
  <c r="AF22" i="9"/>
  <c r="AF32" i="9" s="1"/>
  <c r="AF34" i="9"/>
  <c r="AF24" i="9"/>
  <c r="AF29" i="9" s="1"/>
  <c r="AF31" i="9"/>
  <c r="AF30" i="9"/>
  <c r="AF22" i="7"/>
  <c r="AF27" i="7"/>
  <c r="AF33" i="7"/>
  <c r="AF29" i="7"/>
  <c r="AF24" i="7"/>
  <c r="AF31" i="7"/>
  <c r="AF38" i="7"/>
  <c r="AF37" i="7"/>
  <c r="AF34" i="7"/>
  <c r="AF23" i="7"/>
  <c r="AF32" i="7"/>
  <c r="AF30" i="7"/>
  <c r="AF41" i="7"/>
  <c r="AF40" i="7"/>
  <c r="AL22" i="7"/>
  <c r="AL27" i="7"/>
  <c r="AL33" i="7"/>
  <c r="AL29" i="7"/>
  <c r="AL38" i="7"/>
  <c r="AL24" i="7"/>
  <c r="AL31" i="7"/>
  <c r="AL41" i="7"/>
  <c r="AL32" i="7"/>
  <c r="AL34" i="7"/>
  <c r="AL40" i="7"/>
  <c r="AL23" i="7"/>
  <c r="AL37" i="7"/>
  <c r="AL30" i="7"/>
  <c r="AK40" i="5"/>
  <c r="AK36" i="5"/>
  <c r="AK23" i="5"/>
  <c r="AK25" i="5"/>
  <c r="AK22" i="5"/>
  <c r="AK26" i="5" s="1"/>
  <c r="AK24" i="5"/>
  <c r="AK37" i="5"/>
  <c r="AB33" i="8"/>
  <c r="AB32" i="8"/>
  <c r="AG34" i="9"/>
  <c r="AG22" i="9"/>
  <c r="AG30" i="9"/>
  <c r="AG23" i="9"/>
  <c r="AG31" i="9"/>
  <c r="H35" i="7"/>
  <c r="H37" i="7" s="1"/>
  <c r="G35" i="7"/>
  <c r="G37" i="7" s="1"/>
  <c r="F35" i="7"/>
  <c r="F37" i="7" s="1"/>
  <c r="F38" i="7" s="1"/>
  <c r="F40" i="7" s="1"/>
  <c r="F41" i="7" s="1"/>
  <c r="F35" i="6"/>
  <c r="F37" i="6" s="1"/>
  <c r="F38" i="6" s="1"/>
  <c r="F40" i="6" s="1"/>
  <c r="F41" i="6" s="1"/>
  <c r="H35" i="6"/>
  <c r="H37" i="6" s="1"/>
  <c r="G35" i="6"/>
  <c r="G37" i="6" s="1"/>
  <c r="AI23" i="3"/>
  <c r="E4" i="13"/>
  <c r="E12" i="13" s="1"/>
  <c r="AK30" i="10"/>
  <c r="AK34" i="10"/>
  <c r="AK23" i="10"/>
  <c r="AK22" i="10"/>
  <c r="AK31" i="10"/>
  <c r="F35" i="14"/>
  <c r="F37" i="14" s="1"/>
  <c r="F38" i="14" s="1"/>
  <c r="F40" i="14" s="1"/>
  <c r="F41" i="14" s="1"/>
  <c r="H35" i="14"/>
  <c r="H37" i="14" s="1"/>
  <c r="G35" i="14"/>
  <c r="G37" i="14" s="1"/>
  <c r="R108" i="3"/>
  <c r="N18" i="14"/>
  <c r="N18" i="6"/>
  <c r="AJ30" i="9"/>
  <c r="AJ34" i="9"/>
  <c r="AJ23" i="9"/>
  <c r="AJ22" i="9"/>
  <c r="AJ24" i="9" s="1"/>
  <c r="AJ31" i="9"/>
  <c r="AT105" i="3"/>
  <c r="K18" i="10"/>
  <c r="H36" i="10"/>
  <c r="H38" i="10" s="1"/>
  <c r="G36" i="10"/>
  <c r="G38" i="10" s="1"/>
  <c r="F36" i="10"/>
  <c r="F38" i="10" s="1"/>
  <c r="F39" i="10" s="1"/>
  <c r="F41" i="10" s="1"/>
  <c r="F42" i="10" s="1"/>
  <c r="AI30" i="10"/>
  <c r="AI34" i="10"/>
  <c r="AI23" i="10"/>
  <c r="AI22" i="10"/>
  <c r="AI24" i="10" s="1"/>
  <c r="AI31" i="10"/>
  <c r="G36" i="8"/>
  <c r="G38" i="8" s="1"/>
  <c r="F36" i="8"/>
  <c r="F38" i="8" s="1"/>
  <c r="F39" i="8" s="1"/>
  <c r="F41" i="8" s="1"/>
  <c r="F42" i="8" s="1"/>
  <c r="H36" i="8"/>
  <c r="H38" i="8" s="1"/>
  <c r="AD22" i="5"/>
  <c r="AD23" i="5"/>
  <c r="AD25" i="5"/>
  <c r="AD27" i="5" s="1"/>
  <c r="AD31" i="5" s="1"/>
  <c r="AD36" i="5"/>
  <c r="AD40" i="5"/>
  <c r="AD24" i="5"/>
  <c r="AD37" i="5"/>
  <c r="AD26" i="5" l="1"/>
  <c r="AK24" i="10"/>
  <c r="AF27" i="5"/>
  <c r="AF31" i="5" s="1"/>
  <c r="X27" i="10"/>
  <c r="X38" i="10" s="1"/>
  <c r="X41" i="10" s="1"/>
  <c r="AD27" i="10"/>
  <c r="AD38" i="10" s="1"/>
  <c r="AD41" i="10" s="1"/>
  <c r="N27" i="10"/>
  <c r="N38" i="10" s="1"/>
  <c r="N41" i="10" s="1"/>
  <c r="S27" i="10"/>
  <c r="S38" i="10" s="1"/>
  <c r="S41" i="10" s="1"/>
  <c r="I27" i="10"/>
  <c r="I38" i="10" s="1"/>
  <c r="I41" i="10" s="1"/>
  <c r="W27" i="10"/>
  <c r="W38" i="10" s="1"/>
  <c r="W41" i="10" s="1"/>
  <c r="AA27" i="10"/>
  <c r="AA38" i="10" s="1"/>
  <c r="AA41" i="10" s="1"/>
  <c r="T27" i="10"/>
  <c r="T38" i="10" s="1"/>
  <c r="T41" i="10" s="1"/>
  <c r="Z27" i="10"/>
  <c r="Z38" i="10" s="1"/>
  <c r="Z41" i="10" s="1"/>
  <c r="J27" i="10"/>
  <c r="J38" i="10" s="1"/>
  <c r="J41" i="10" s="1"/>
  <c r="K27" i="10"/>
  <c r="K38" i="10" s="1"/>
  <c r="K41" i="10" s="1"/>
  <c r="U27" i="10"/>
  <c r="U38" i="10" s="1"/>
  <c r="U41" i="10" s="1"/>
  <c r="O27" i="10"/>
  <c r="O38" i="10" s="1"/>
  <c r="O41" i="10" s="1"/>
  <c r="AB27" i="10"/>
  <c r="AB38" i="10" s="1"/>
  <c r="AB41" i="10" s="1"/>
  <c r="L27" i="10"/>
  <c r="L38" i="10" s="1"/>
  <c r="L41" i="10" s="1"/>
  <c r="R27" i="10"/>
  <c r="R38" i="10" s="1"/>
  <c r="R41" i="10" s="1"/>
  <c r="AG27" i="10"/>
  <c r="P27" i="10"/>
  <c r="P38" i="10" s="1"/>
  <c r="P41" i="10" s="1"/>
  <c r="V27" i="10"/>
  <c r="V38" i="10" s="1"/>
  <c r="V41" i="10" s="1"/>
  <c r="AC27" i="10"/>
  <c r="AC38" i="10" s="1"/>
  <c r="AC41" i="10" s="1"/>
  <c r="Y27" i="10"/>
  <c r="Y38" i="10" s="1"/>
  <c r="Y41" i="10" s="1"/>
  <c r="M27" i="10"/>
  <c r="M38" i="10" s="1"/>
  <c r="M41" i="10" s="1"/>
  <c r="Q27" i="10"/>
  <c r="Q38" i="10" s="1"/>
  <c r="Q41" i="10" s="1"/>
  <c r="AF27" i="10"/>
  <c r="AH27" i="10"/>
  <c r="AH38" i="10" s="1"/>
  <c r="AH41" i="10" s="1"/>
  <c r="AL27" i="10"/>
  <c r="AL38" i="10" s="1"/>
  <c r="AL41" i="10" s="1"/>
  <c r="AJ27" i="10"/>
  <c r="AJ35" i="10"/>
  <c r="AJ29" i="10"/>
  <c r="AJ33" i="10"/>
  <c r="AK32" i="9"/>
  <c r="AD24" i="9"/>
  <c r="AD29" i="9" s="1"/>
  <c r="AE27" i="10"/>
  <c r="AE35" i="10"/>
  <c r="AE29" i="10"/>
  <c r="AE33" i="10"/>
  <c r="Q18" i="9"/>
  <c r="AM111" i="3"/>
  <c r="AJ32" i="9"/>
  <c r="AG24" i="9"/>
  <c r="AG29" i="9" s="1"/>
  <c r="AK27" i="5"/>
  <c r="AK31" i="5" s="1"/>
  <c r="AF35" i="9"/>
  <c r="AF38" i="5"/>
  <c r="AE32" i="9"/>
  <c r="AE26" i="5"/>
  <c r="AI27" i="5"/>
  <c r="AI31" i="5" s="1"/>
  <c r="AL39" i="5"/>
  <c r="G39" i="9"/>
  <c r="H39" i="9" s="1"/>
  <c r="G41" i="9"/>
  <c r="G42" i="9" s="1"/>
  <c r="H42" i="9" s="1"/>
  <c r="AF33" i="10"/>
  <c r="AF35" i="10"/>
  <c r="AF29" i="10"/>
  <c r="J13" i="13"/>
  <c r="J15" i="13"/>
  <c r="AG35" i="10"/>
  <c r="AG33" i="10"/>
  <c r="AG29" i="10"/>
  <c r="AK28" i="5"/>
  <c r="AK39" i="5"/>
  <c r="AK35" i="5"/>
  <c r="AK44" i="5" s="1"/>
  <c r="AK47" i="5" s="1"/>
  <c r="AK32" i="5"/>
  <c r="AK41" i="5"/>
  <c r="AK33" i="5"/>
  <c r="AE29" i="9"/>
  <c r="AE33" i="9"/>
  <c r="AE35" i="9"/>
  <c r="AI35" i="10"/>
  <c r="AI33" i="10"/>
  <c r="AI29" i="10"/>
  <c r="AI27" i="10"/>
  <c r="AL29" i="9"/>
  <c r="AL33" i="9"/>
  <c r="AL35" i="9"/>
  <c r="AD33" i="9"/>
  <c r="AE28" i="5"/>
  <c r="AE33" i="5"/>
  <c r="AE32" i="5"/>
  <c r="AE35" i="5"/>
  <c r="AE44" i="5" s="1"/>
  <c r="AE47" i="5" s="1"/>
  <c r="AE41" i="5"/>
  <c r="AE39" i="5"/>
  <c r="AJ33" i="9"/>
  <c r="AJ35" i="9"/>
  <c r="AJ29" i="9"/>
  <c r="AG33" i="9"/>
  <c r="AD28" i="5"/>
  <c r="AD33" i="5"/>
  <c r="AD39" i="5"/>
  <c r="AD41" i="5"/>
  <c r="AD35" i="5"/>
  <c r="AD32" i="5"/>
  <c r="AK33" i="10"/>
  <c r="AK27" i="10"/>
  <c r="AK29" i="10"/>
  <c r="AK35" i="10"/>
  <c r="AG28" i="5"/>
  <c r="AG35" i="5"/>
  <c r="AG33" i="5"/>
  <c r="AG41" i="5"/>
  <c r="AG32" i="5"/>
  <c r="AG44" i="5" s="1"/>
  <c r="AG47" i="5" s="1"/>
  <c r="AG39" i="5"/>
  <c r="AJ28" i="5"/>
  <c r="AJ35" i="5"/>
  <c r="AJ41" i="5"/>
  <c r="AJ33" i="5"/>
  <c r="AJ39" i="5"/>
  <c r="AJ32" i="5"/>
  <c r="G41" i="10"/>
  <c r="G42" i="10" s="1"/>
  <c r="G39" i="10"/>
  <c r="H39" i="10" s="1"/>
  <c r="I39" i="10" s="1"/>
  <c r="J39" i="10" s="1"/>
  <c r="K39" i="10" s="1"/>
  <c r="L39" i="10" s="1"/>
  <c r="M39" i="10" s="1"/>
  <c r="N39" i="10" s="1"/>
  <c r="O39" i="10" s="1"/>
  <c r="P39" i="10" s="1"/>
  <c r="Q39" i="10" s="1"/>
  <c r="AK24" i="9"/>
  <c r="G45" i="4"/>
  <c r="G47" i="4"/>
  <c r="G48" i="4" s="1"/>
  <c r="H41" i="8"/>
  <c r="AI32" i="10"/>
  <c r="H41" i="10"/>
  <c r="AK32" i="10"/>
  <c r="G40" i="6"/>
  <c r="G41" i="6" s="1"/>
  <c r="G38" i="6"/>
  <c r="H38" i="6" s="1"/>
  <c r="I38" i="6" s="1"/>
  <c r="J38" i="6" s="1"/>
  <c r="K38" i="6" s="1"/>
  <c r="L38" i="6" s="1"/>
  <c r="M38" i="6" s="1"/>
  <c r="N38" i="6" s="1"/>
  <c r="O38" i="6" s="1"/>
  <c r="P38" i="6" s="1"/>
  <c r="Q38" i="6" s="1"/>
  <c r="R38" i="6" s="1"/>
  <c r="S38" i="6" s="1"/>
  <c r="T38" i="6" s="1"/>
  <c r="U38" i="6" s="1"/>
  <c r="V38" i="6" s="1"/>
  <c r="W38" i="6" s="1"/>
  <c r="X38" i="6" s="1"/>
  <c r="Y38" i="6" s="1"/>
  <c r="Z38" i="6" s="1"/>
  <c r="AA38" i="6" s="1"/>
  <c r="AB38" i="6" s="1"/>
  <c r="AC38" i="6" s="1"/>
  <c r="AG32" i="9"/>
  <c r="AF26" i="5"/>
  <c r="AG38" i="5"/>
  <c r="K18" i="8"/>
  <c r="AF105" i="3"/>
  <c r="AL32" i="9"/>
  <c r="AI33" i="9"/>
  <c r="AI35" i="9"/>
  <c r="K18" i="5"/>
  <c r="K105" i="3"/>
  <c r="AI41" i="5"/>
  <c r="AI33" i="5"/>
  <c r="AI35" i="5"/>
  <c r="AL33" i="5"/>
  <c r="I47" i="5"/>
  <c r="I48" i="5" s="1"/>
  <c r="I45" i="5"/>
  <c r="J45" i="5" s="1"/>
  <c r="K45" i="5" s="1"/>
  <c r="L45" i="5" s="1"/>
  <c r="M45" i="5" s="1"/>
  <c r="N45" i="5" s="1"/>
  <c r="O45" i="5" s="1"/>
  <c r="P45" i="5" s="1"/>
  <c r="Q45" i="5" s="1"/>
  <c r="R45" i="5" s="1"/>
  <c r="S45" i="5" s="1"/>
  <c r="T45" i="5" s="1"/>
  <c r="U45" i="5" s="1"/>
  <c r="V45" i="5" s="1"/>
  <c r="W45" i="5" s="1"/>
  <c r="X45" i="5" s="1"/>
  <c r="Y45" i="5" s="1"/>
  <c r="Z45" i="5" s="1"/>
  <c r="AA45" i="5" s="1"/>
  <c r="AB45" i="5" s="1"/>
  <c r="AC45" i="5" s="1"/>
  <c r="O18" i="14"/>
  <c r="O18" i="6"/>
  <c r="R109" i="3"/>
  <c r="E5" i="13"/>
  <c r="E6" i="8"/>
  <c r="L18" i="10"/>
  <c r="AT106" i="3"/>
  <c r="H40" i="6"/>
  <c r="H41" i="6" s="1"/>
  <c r="AF33" i="9"/>
  <c r="Y105" i="3"/>
  <c r="K18" i="7"/>
  <c r="H47" i="4"/>
  <c r="H45" i="4"/>
  <c r="AJ38" i="5"/>
  <c r="AI39" i="5"/>
  <c r="L18" i="4"/>
  <c r="D106" i="3"/>
  <c r="H40" i="14"/>
  <c r="H40" i="7"/>
  <c r="AI28" i="5"/>
  <c r="AL28" i="5"/>
  <c r="AD38" i="5"/>
  <c r="G41" i="8"/>
  <c r="G42" i="8" s="1"/>
  <c r="G39" i="8"/>
  <c r="H39" i="8" s="1"/>
  <c r="G40" i="14"/>
  <c r="G41" i="14" s="1"/>
  <c r="G38" i="14"/>
  <c r="H38" i="14" s="1"/>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G40" i="7"/>
  <c r="G41" i="7" s="1"/>
  <c r="G38" i="7"/>
  <c r="H38" i="7" s="1"/>
  <c r="I38" i="7" s="1"/>
  <c r="J38" i="7" s="1"/>
  <c r="K38" i="7" s="1"/>
  <c r="L38" i="7" s="1"/>
  <c r="M38" i="7" s="1"/>
  <c r="N38" i="7" s="1"/>
  <c r="O38" i="7" s="1"/>
  <c r="P38" i="7" s="1"/>
  <c r="Q38" i="7" s="1"/>
  <c r="R38" i="7" s="1"/>
  <c r="S38" i="7" s="1"/>
  <c r="T38" i="7" s="1"/>
  <c r="U38" i="7" s="1"/>
  <c r="V38" i="7" s="1"/>
  <c r="W38" i="7" s="1"/>
  <c r="X38" i="7" s="1"/>
  <c r="Y38" i="7" s="1"/>
  <c r="Z38" i="7" s="1"/>
  <c r="AA38" i="7" s="1"/>
  <c r="AB38" i="7" s="1"/>
  <c r="AC38" i="7" s="1"/>
  <c r="AK38" i="5"/>
  <c r="E6" i="4"/>
  <c r="C5" i="13"/>
  <c r="F5" i="13"/>
  <c r="F13" i="13" s="1"/>
  <c r="E6" i="9"/>
  <c r="I41" i="6"/>
  <c r="J41" i="6" s="1"/>
  <c r="K41" i="6" s="1"/>
  <c r="L41" i="6" s="1"/>
  <c r="M41" i="6" s="1"/>
  <c r="N41" i="6" s="1"/>
  <c r="O41" i="6" s="1"/>
  <c r="P41" i="6" s="1"/>
  <c r="Q41" i="6" s="1"/>
  <c r="R41" i="6" s="1"/>
  <c r="S41" i="6" s="1"/>
  <c r="T41" i="6" s="1"/>
  <c r="U41" i="6" s="1"/>
  <c r="V41" i="6" s="1"/>
  <c r="W41" i="6" s="1"/>
  <c r="X41" i="6" s="1"/>
  <c r="Y41" i="6" s="1"/>
  <c r="Z41" i="6" s="1"/>
  <c r="AA41" i="6" s="1"/>
  <c r="AB41" i="6" s="1"/>
  <c r="AL35" i="5"/>
  <c r="J48" i="5"/>
  <c r="K48" i="5"/>
  <c r="L48" i="5" s="1"/>
  <c r="M48" i="5" s="1"/>
  <c r="N48" i="5" s="1"/>
  <c r="O48" i="5" s="1"/>
  <c r="P48" i="5" s="1"/>
  <c r="Q48" i="5" s="1"/>
  <c r="R48" i="5" s="1"/>
  <c r="S48" i="5" s="1"/>
  <c r="T48" i="5" s="1"/>
  <c r="U48" i="5" s="1"/>
  <c r="V48" i="5" s="1"/>
  <c r="W48" i="5" s="1"/>
  <c r="X48" i="5" s="1"/>
  <c r="Y48" i="5" s="1"/>
  <c r="Z48" i="5" s="1"/>
  <c r="AA48" i="5" s="1"/>
  <c r="AB48" i="5" s="1"/>
  <c r="H48" i="4" l="1"/>
  <c r="H42" i="10"/>
  <c r="I42" i="10" s="1"/>
  <c r="J42" i="10" s="1"/>
  <c r="K42" i="10" s="1"/>
  <c r="L42" i="10" s="1"/>
  <c r="M42" i="10" s="1"/>
  <c r="N42" i="10" s="1"/>
  <c r="O42" i="10" s="1"/>
  <c r="P42" i="10" s="1"/>
  <c r="Q42" i="10" s="1"/>
  <c r="R42" i="10" s="1"/>
  <c r="S42" i="10" s="1"/>
  <c r="T42" i="10" s="1"/>
  <c r="U42" i="10" s="1"/>
  <c r="V42" i="10" s="1"/>
  <c r="W42" i="10" s="1"/>
  <c r="X42" i="10" s="1"/>
  <c r="Y42" i="10" s="1"/>
  <c r="Z42" i="10" s="1"/>
  <c r="AA42" i="10" s="1"/>
  <c r="AB42" i="10" s="1"/>
  <c r="R39" i="10"/>
  <c r="S39" i="10" s="1"/>
  <c r="T39" i="10" s="1"/>
  <c r="U39" i="10" s="1"/>
  <c r="V39" i="10" s="1"/>
  <c r="W39" i="10" s="1"/>
  <c r="X39" i="10" s="1"/>
  <c r="Y39" i="10" s="1"/>
  <c r="Z39" i="10" s="1"/>
  <c r="AA39" i="10" s="1"/>
  <c r="AB39" i="10" s="1"/>
  <c r="AC39" i="10" s="1"/>
  <c r="AD39" i="10" s="1"/>
  <c r="AE39" i="10" s="1"/>
  <c r="AF39" i="10" s="1"/>
  <c r="AG39" i="10" s="1"/>
  <c r="AH39" i="10" s="1"/>
  <c r="AI39" i="10" s="1"/>
  <c r="AJ39" i="10" s="1"/>
  <c r="AK39" i="10" s="1"/>
  <c r="AL39" i="10" s="1"/>
  <c r="AM39" i="10" s="1"/>
  <c r="AK38" i="10"/>
  <c r="AK41" i="10" s="1"/>
  <c r="AJ38" i="10"/>
  <c r="AJ41" i="10" s="1"/>
  <c r="AG38" i="10"/>
  <c r="AG41" i="10" s="1"/>
  <c r="AF38" i="10"/>
  <c r="AF41" i="10" s="1"/>
  <c r="AJ44" i="5"/>
  <c r="AJ47" i="5" s="1"/>
  <c r="AD44" i="5"/>
  <c r="AD47" i="5" s="1"/>
  <c r="AG35" i="9"/>
  <c r="AD35" i="9"/>
  <c r="AE38" i="10"/>
  <c r="AE41" i="10" s="1"/>
  <c r="AI44" i="5"/>
  <c r="AI47" i="5" s="1"/>
  <c r="AL44" i="5"/>
  <c r="AL47" i="5" s="1"/>
  <c r="AM112" i="3"/>
  <c r="R18" i="9"/>
  <c r="AC43" i="6"/>
  <c r="AC41" i="6"/>
  <c r="AD43" i="6" s="1"/>
  <c r="AE43" i="6" s="1"/>
  <c r="AF43" i="6" s="1"/>
  <c r="AG43" i="6" s="1"/>
  <c r="AH43" i="6" s="1"/>
  <c r="AI43" i="6" s="1"/>
  <c r="AJ43" i="6" s="1"/>
  <c r="AK43" i="6" s="1"/>
  <c r="AL43" i="6" s="1"/>
  <c r="AM43" i="6" s="1"/>
  <c r="AN43" i="6" s="1"/>
  <c r="AE50" i="5"/>
  <c r="AC48" i="5"/>
  <c r="AC50" i="5"/>
  <c r="AD50" i="5"/>
  <c r="AD48" i="5"/>
  <c r="AE48" i="5" s="1"/>
  <c r="J16" i="13"/>
  <c r="M18" i="10"/>
  <c r="AT107" i="3"/>
  <c r="E13" i="13"/>
  <c r="E16" i="13" s="1"/>
  <c r="E15" i="13"/>
  <c r="Y27" i="9"/>
  <c r="Y38" i="9" s="1"/>
  <c r="Y41" i="9" s="1"/>
  <c r="U27" i="9"/>
  <c r="U38" i="9" s="1"/>
  <c r="U41" i="9" s="1"/>
  <c r="Q27" i="9"/>
  <c r="Q38" i="9" s="1"/>
  <c r="Q41" i="9" s="1"/>
  <c r="M27" i="9"/>
  <c r="M38" i="9" s="1"/>
  <c r="M41" i="9" s="1"/>
  <c r="I27" i="9"/>
  <c r="I38" i="9" s="1"/>
  <c r="Z27" i="9"/>
  <c r="Z38" i="9" s="1"/>
  <c r="Z41" i="9" s="1"/>
  <c r="V27" i="9"/>
  <c r="V38" i="9" s="1"/>
  <c r="V41" i="9" s="1"/>
  <c r="R27" i="9"/>
  <c r="R38" i="9" s="1"/>
  <c r="R41" i="9" s="1"/>
  <c r="N27" i="9"/>
  <c r="N38" i="9" s="1"/>
  <c r="N41" i="9" s="1"/>
  <c r="J27" i="9"/>
  <c r="J38" i="9" s="1"/>
  <c r="J41" i="9" s="1"/>
  <c r="AC27" i="9"/>
  <c r="AC38" i="9" s="1"/>
  <c r="AC41" i="9" s="1"/>
  <c r="AB27" i="9"/>
  <c r="AB38" i="9" s="1"/>
  <c r="AB41" i="9" s="1"/>
  <c r="X27" i="9"/>
  <c r="X38" i="9" s="1"/>
  <c r="X41" i="9" s="1"/>
  <c r="T27" i="9"/>
  <c r="T38" i="9" s="1"/>
  <c r="T41" i="9" s="1"/>
  <c r="P27" i="9"/>
  <c r="P38" i="9" s="1"/>
  <c r="P41" i="9" s="1"/>
  <c r="L27" i="9"/>
  <c r="L38" i="9" s="1"/>
  <c r="L41" i="9" s="1"/>
  <c r="AA27" i="9"/>
  <c r="AA38" i="9" s="1"/>
  <c r="AA41" i="9" s="1"/>
  <c r="K27" i="9"/>
  <c r="K38" i="9" s="1"/>
  <c r="K41" i="9" s="1"/>
  <c r="O27" i="9"/>
  <c r="O38" i="9" s="1"/>
  <c r="O41" i="9" s="1"/>
  <c r="S27" i="9"/>
  <c r="S38" i="9" s="1"/>
  <c r="S41" i="9" s="1"/>
  <c r="AH27" i="9"/>
  <c r="AH38" i="9" s="1"/>
  <c r="AH41" i="9" s="1"/>
  <c r="W27" i="9"/>
  <c r="W38" i="9" s="1"/>
  <c r="W41" i="9" s="1"/>
  <c r="AD27" i="9"/>
  <c r="AL27" i="9"/>
  <c r="AL38" i="9" s="1"/>
  <c r="AL41" i="9" s="1"/>
  <c r="AJ27" i="9"/>
  <c r="AJ38" i="9" s="1"/>
  <c r="AJ41" i="9" s="1"/>
  <c r="AE27" i="9"/>
  <c r="AE38" i="9" s="1"/>
  <c r="AE41" i="9" s="1"/>
  <c r="AK27" i="9"/>
  <c r="AF27" i="9"/>
  <c r="AF38" i="9" s="1"/>
  <c r="AF41" i="9" s="1"/>
  <c r="AI27" i="9"/>
  <c r="AI38" i="9" s="1"/>
  <c r="AI41" i="9" s="1"/>
  <c r="AG27" i="9"/>
  <c r="AG38" i="9" s="1"/>
  <c r="AG41" i="9"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R110" i="3"/>
  <c r="P18" i="14"/>
  <c r="P18" i="6"/>
  <c r="K106" i="3"/>
  <c r="L18" i="5"/>
  <c r="H42" i="8"/>
  <c r="L18" i="7"/>
  <c r="Y106" i="3"/>
  <c r="C13" i="13"/>
  <c r="C16" i="13" s="1"/>
  <c r="C15" i="13"/>
  <c r="D107" i="3"/>
  <c r="M18" i="4"/>
  <c r="AI27" i="8"/>
  <c r="AI38" i="8" s="1"/>
  <c r="AI41" i="8" s="1"/>
  <c r="AB27" i="8"/>
  <c r="AB38" i="8" s="1"/>
  <c r="AB41" i="8" s="1"/>
  <c r="X27" i="8"/>
  <c r="X38" i="8" s="1"/>
  <c r="X41" i="8" s="1"/>
  <c r="T27" i="8"/>
  <c r="T38" i="8" s="1"/>
  <c r="T41" i="8" s="1"/>
  <c r="P27" i="8"/>
  <c r="P38" i="8" s="1"/>
  <c r="P41" i="8" s="1"/>
  <c r="L27" i="8"/>
  <c r="L38" i="8" s="1"/>
  <c r="L41" i="8" s="1"/>
  <c r="AF27" i="8"/>
  <c r="AF38" i="8" s="1"/>
  <c r="AF41" i="8" s="1"/>
  <c r="AL27" i="8"/>
  <c r="AL38" i="8" s="1"/>
  <c r="AL41" i="8" s="1"/>
  <c r="Y27" i="8"/>
  <c r="Y38" i="8" s="1"/>
  <c r="Y41" i="8" s="1"/>
  <c r="U27" i="8"/>
  <c r="U38" i="8" s="1"/>
  <c r="U41" i="8" s="1"/>
  <c r="Q27" i="8"/>
  <c r="Q38" i="8" s="1"/>
  <c r="Q41" i="8" s="1"/>
  <c r="M27" i="8"/>
  <c r="M38" i="8" s="1"/>
  <c r="M41" i="8" s="1"/>
  <c r="I27" i="8"/>
  <c r="I38" i="8" s="1"/>
  <c r="I41" i="8" s="1"/>
  <c r="I42" i="8" s="1"/>
  <c r="AE27" i="8"/>
  <c r="AE38" i="8" s="1"/>
  <c r="AE41" i="8" s="1"/>
  <c r="AA27" i="8"/>
  <c r="AA38" i="8" s="1"/>
  <c r="AA41" i="8" s="1"/>
  <c r="W27" i="8"/>
  <c r="W38" i="8" s="1"/>
  <c r="W41" i="8" s="1"/>
  <c r="S27" i="8"/>
  <c r="S38" i="8" s="1"/>
  <c r="S41" i="8" s="1"/>
  <c r="O27" i="8"/>
  <c r="O38" i="8" s="1"/>
  <c r="O41" i="8" s="1"/>
  <c r="K27" i="8"/>
  <c r="K38" i="8" s="1"/>
  <c r="K41" i="8" s="1"/>
  <c r="AH27" i="8"/>
  <c r="AH38" i="8" s="1"/>
  <c r="AH41" i="8" s="1"/>
  <c r="AK27" i="8"/>
  <c r="AK38" i="8" s="1"/>
  <c r="AK41" i="8" s="1"/>
  <c r="N27" i="8"/>
  <c r="N38" i="8" s="1"/>
  <c r="N41" i="8" s="1"/>
  <c r="R27" i="8"/>
  <c r="R38" i="8" s="1"/>
  <c r="R41" i="8" s="1"/>
  <c r="AC27" i="8"/>
  <c r="AC38" i="8" s="1"/>
  <c r="AC41" i="8" s="1"/>
  <c r="V27" i="8"/>
  <c r="V38" i="8" s="1"/>
  <c r="V41" i="8" s="1"/>
  <c r="AG27" i="8"/>
  <c r="AG38" i="8" s="1"/>
  <c r="AG41" i="8" s="1"/>
  <c r="AJ27" i="8"/>
  <c r="AJ38" i="8" s="1"/>
  <c r="AJ41" i="8" s="1"/>
  <c r="Z27" i="8"/>
  <c r="Z38" i="8" s="1"/>
  <c r="Z41" i="8" s="1"/>
  <c r="J27" i="8"/>
  <c r="J38" i="8" s="1"/>
  <c r="J41" i="8" s="1"/>
  <c r="J42" i="8" s="1"/>
  <c r="AD27" i="8"/>
  <c r="AD38" i="8" s="1"/>
  <c r="AD41" i="8" s="1"/>
  <c r="AF106" i="3"/>
  <c r="L18" i="8"/>
  <c r="AK29" i="9"/>
  <c r="AK35" i="9"/>
  <c r="AK33" i="9"/>
  <c r="AC44" i="10"/>
  <c r="AC42" i="10"/>
  <c r="AB31" i="4"/>
  <c r="AB44" i="4" s="1"/>
  <c r="AB47" i="4" s="1"/>
  <c r="W31" i="4"/>
  <c r="W44" i="4" s="1"/>
  <c r="W47" i="4" s="1"/>
  <c r="O31" i="4"/>
  <c r="O44" i="4" s="1"/>
  <c r="O47" i="4" s="1"/>
  <c r="AI31" i="4"/>
  <c r="AI44" i="4" s="1"/>
  <c r="AI47" i="4" s="1"/>
  <c r="V31" i="4"/>
  <c r="V44" i="4" s="1"/>
  <c r="V47" i="4" s="1"/>
  <c r="N31" i="4"/>
  <c r="N44" i="4" s="1"/>
  <c r="N47" i="4" s="1"/>
  <c r="AK31" i="4"/>
  <c r="AK44" i="4" s="1"/>
  <c r="AK47" i="4" s="1"/>
  <c r="AL31" i="4"/>
  <c r="AL44" i="4" s="1"/>
  <c r="AL47" i="4" s="1"/>
  <c r="Y31" i="4"/>
  <c r="Y44" i="4" s="1"/>
  <c r="Y47" i="4" s="1"/>
  <c r="Q31" i="4"/>
  <c r="Q44" i="4" s="1"/>
  <c r="Q47" i="4" s="1"/>
  <c r="AE31" i="4"/>
  <c r="AE44" i="4" s="1"/>
  <c r="AE47" i="4" s="1"/>
  <c r="X31" i="4"/>
  <c r="X44" i="4" s="1"/>
  <c r="X47" i="4" s="1"/>
  <c r="P31" i="4"/>
  <c r="P44" i="4" s="1"/>
  <c r="P47" i="4" s="1"/>
  <c r="AG31" i="4"/>
  <c r="AG44" i="4" s="1"/>
  <c r="AG47" i="4" s="1"/>
  <c r="AJ31" i="4"/>
  <c r="AJ44" i="4" s="1"/>
  <c r="AJ47" i="4" s="1"/>
  <c r="AH31" i="4"/>
  <c r="AH44" i="4" s="1"/>
  <c r="AH47" i="4" s="1"/>
  <c r="U31" i="4"/>
  <c r="U44" i="4" s="1"/>
  <c r="U47" i="4" s="1"/>
  <c r="M31" i="4"/>
  <c r="M44" i="4" s="1"/>
  <c r="M47" i="4" s="1"/>
  <c r="AC31" i="4"/>
  <c r="AC44" i="4" s="1"/>
  <c r="AC47" i="4" s="1"/>
  <c r="T31" i="4"/>
  <c r="T44" i="4" s="1"/>
  <c r="T47" i="4" s="1"/>
  <c r="L31" i="4"/>
  <c r="L44" i="4" s="1"/>
  <c r="L47" i="4" s="1"/>
  <c r="AF31" i="4"/>
  <c r="AF44" i="4" s="1"/>
  <c r="AF47" i="4" s="1"/>
  <c r="I31" i="4"/>
  <c r="I44" i="4" s="1"/>
  <c r="I47" i="4" s="1"/>
  <c r="I48" i="4" s="1"/>
  <c r="K31" i="4"/>
  <c r="K44" i="4" s="1"/>
  <c r="K47" i="4" s="1"/>
  <c r="K48" i="4" s="1"/>
  <c r="AD31" i="4"/>
  <c r="AD44" i="4" s="1"/>
  <c r="AD47" i="4" s="1"/>
  <c r="S31" i="4"/>
  <c r="S44" i="4" s="1"/>
  <c r="S47" i="4" s="1"/>
  <c r="J31" i="4"/>
  <c r="J44" i="4" s="1"/>
  <c r="J47" i="4" s="1"/>
  <c r="J48" i="4" s="1"/>
  <c r="AA31" i="4"/>
  <c r="AA44" i="4" s="1"/>
  <c r="AA47" i="4" s="1"/>
  <c r="R31" i="4"/>
  <c r="R44" i="4" s="1"/>
  <c r="R47" i="4" s="1"/>
  <c r="Z31" i="4"/>
  <c r="Z44" i="4" s="1"/>
  <c r="Z47" i="4" s="1"/>
  <c r="H41" i="7"/>
  <c r="I41" i="7" s="1"/>
  <c r="J41" i="7" s="1"/>
  <c r="K41" i="7" s="1"/>
  <c r="L41" i="7" s="1"/>
  <c r="M41" i="7" s="1"/>
  <c r="N41" i="7" s="1"/>
  <c r="O41" i="7" s="1"/>
  <c r="P41" i="7" s="1"/>
  <c r="Q41" i="7" s="1"/>
  <c r="R41" i="7" s="1"/>
  <c r="S41" i="7" s="1"/>
  <c r="T41" i="7" s="1"/>
  <c r="U41" i="7" s="1"/>
  <c r="V41" i="7" s="1"/>
  <c r="W41" i="7" s="1"/>
  <c r="X41" i="7" s="1"/>
  <c r="Y41" i="7" s="1"/>
  <c r="Z41" i="7" s="1"/>
  <c r="AA41" i="7" s="1"/>
  <c r="AB41" i="7" s="1"/>
  <c r="AD45" i="5"/>
  <c r="AE45" i="5" s="1"/>
  <c r="AF28" i="5"/>
  <c r="AF33" i="5"/>
  <c r="AF39" i="5"/>
  <c r="AF35" i="5"/>
  <c r="AF41" i="5"/>
  <c r="AF32" i="5"/>
  <c r="AI38" i="10"/>
  <c r="AI41" i="10" s="1"/>
  <c r="S18" i="9" l="1"/>
  <c r="AM113" i="3"/>
  <c r="AD38" i="9"/>
  <c r="AD41" i="9" s="1"/>
  <c r="K42" i="8"/>
  <c r="M18" i="8"/>
  <c r="AF107" i="3"/>
  <c r="AC43" i="7"/>
  <c r="AC41" i="7"/>
  <c r="AD43" i="7" s="1"/>
  <c r="AE43" i="7" s="1"/>
  <c r="AF43" i="7" s="1"/>
  <c r="AG43" i="7" s="1"/>
  <c r="AH43" i="7" s="1"/>
  <c r="AI43" i="7" s="1"/>
  <c r="AJ43" i="7" s="1"/>
  <c r="AK43" i="7" s="1"/>
  <c r="AL43" i="7" s="1"/>
  <c r="AM43" i="7" s="1"/>
  <c r="AN43" i="7" s="1"/>
  <c r="AF44" i="5"/>
  <c r="AF47" i="5" s="1"/>
  <c r="L48" i="4"/>
  <c r="M48" i="4" s="1"/>
  <c r="N48" i="4" s="1"/>
  <c r="O48" i="4" s="1"/>
  <c r="P48" i="4" s="1"/>
  <c r="Q48" i="4" s="1"/>
  <c r="R48" i="4" s="1"/>
  <c r="S48" i="4" s="1"/>
  <c r="T48" i="4" s="1"/>
  <c r="U48" i="4" s="1"/>
  <c r="V48" i="4" s="1"/>
  <c r="W48" i="4" s="1"/>
  <c r="X48" i="4" s="1"/>
  <c r="Y48" i="4" s="1"/>
  <c r="Z48" i="4" s="1"/>
  <c r="AA48" i="4" s="1"/>
  <c r="AB48" i="4" s="1"/>
  <c r="M18" i="7"/>
  <c r="Y107" i="3"/>
  <c r="M18" i="5"/>
  <c r="K107" i="3"/>
  <c r="I45" i="4"/>
  <c r="J45" i="4" s="1"/>
  <c r="K45" i="4" s="1"/>
  <c r="L45" i="4" s="1"/>
  <c r="M45" i="4" s="1"/>
  <c r="N45" i="4" s="1"/>
  <c r="O45" i="4" s="1"/>
  <c r="P45" i="4" s="1"/>
  <c r="Q45" i="4" s="1"/>
  <c r="R45" i="4" s="1"/>
  <c r="S45" i="4" s="1"/>
  <c r="T45" i="4" s="1"/>
  <c r="U45" i="4" s="1"/>
  <c r="V45" i="4" s="1"/>
  <c r="W45" i="4" s="1"/>
  <c r="X45" i="4" s="1"/>
  <c r="Y45" i="4" s="1"/>
  <c r="Z45" i="4" s="1"/>
  <c r="AA45" i="4" s="1"/>
  <c r="AB45" i="4" s="1"/>
  <c r="AC45" i="4" s="1"/>
  <c r="AD45" i="4" s="1"/>
  <c r="AE45" i="4" s="1"/>
  <c r="AF45" i="4" s="1"/>
  <c r="AG45" i="4" s="1"/>
  <c r="AH45" i="4" s="1"/>
  <c r="AI45" i="4" s="1"/>
  <c r="AJ45" i="4" s="1"/>
  <c r="AK45" i="4" s="1"/>
  <c r="AL45" i="4" s="1"/>
  <c r="AM45" i="4" s="1"/>
  <c r="I39" i="8"/>
  <c r="J39" i="8" s="1"/>
  <c r="K39" i="8" s="1"/>
  <c r="L39" i="8" s="1"/>
  <c r="M39" i="8" s="1"/>
  <c r="N39" i="8" s="1"/>
  <c r="O39" i="8" s="1"/>
  <c r="P39" i="8" s="1"/>
  <c r="Q39" i="8" s="1"/>
  <c r="R39" i="8" s="1"/>
  <c r="S39" i="8" s="1"/>
  <c r="T39" i="8" s="1"/>
  <c r="U39" i="8" s="1"/>
  <c r="V39" i="8" s="1"/>
  <c r="W39" i="8" s="1"/>
  <c r="X39" i="8" s="1"/>
  <c r="Y39" i="8" s="1"/>
  <c r="Z39" i="8" s="1"/>
  <c r="AA39" i="8" s="1"/>
  <c r="AB39" i="8" s="1"/>
  <c r="AC39" i="8" s="1"/>
  <c r="AD39" i="8" s="1"/>
  <c r="AE39" i="8" s="1"/>
  <c r="AF39" i="8" s="1"/>
  <c r="AG39" i="8" s="1"/>
  <c r="AH39" i="8" s="1"/>
  <c r="AI39" i="8" s="1"/>
  <c r="AJ39" i="8" s="1"/>
  <c r="AK39" i="8" s="1"/>
  <c r="AL39" i="8" s="1"/>
  <c r="AM39" i="8" s="1"/>
  <c r="AC41" i="14"/>
  <c r="AD43" i="14" s="1"/>
  <c r="AE43" i="14" s="1"/>
  <c r="AF43" i="14" s="1"/>
  <c r="AG43" i="14" s="1"/>
  <c r="AH43" i="14" s="1"/>
  <c r="AI43" i="14" s="1"/>
  <c r="AJ43" i="14" s="1"/>
  <c r="AK43" i="14" s="1"/>
  <c r="AL43" i="14" s="1"/>
  <c r="AM43" i="14" s="1"/>
  <c r="AN43" i="14" s="1"/>
  <c r="AC43" i="14"/>
  <c r="AK38" i="9"/>
  <c r="AK41" i="9" s="1"/>
  <c r="L42" i="8"/>
  <c r="M42" i="8" s="1"/>
  <c r="N42" i="8" s="1"/>
  <c r="O42" i="8" s="1"/>
  <c r="P42" i="8" s="1"/>
  <c r="Q42" i="8" s="1"/>
  <c r="R42" i="8" s="1"/>
  <c r="S42" i="8" s="1"/>
  <c r="T42" i="8" s="1"/>
  <c r="U42" i="8" s="1"/>
  <c r="V42" i="8" s="1"/>
  <c r="W42" i="8" s="1"/>
  <c r="X42" i="8" s="1"/>
  <c r="Y42" i="8" s="1"/>
  <c r="Z42" i="8" s="1"/>
  <c r="AA42" i="8" s="1"/>
  <c r="AB42" i="8" s="1"/>
  <c r="AT108" i="3"/>
  <c r="N18" i="10"/>
  <c r="AF45" i="5"/>
  <c r="AG45" i="5" s="1"/>
  <c r="AH45" i="5" s="1"/>
  <c r="AI45" i="5" s="1"/>
  <c r="AJ45" i="5" s="1"/>
  <c r="AK45" i="5" s="1"/>
  <c r="AL45" i="5" s="1"/>
  <c r="AM45" i="5" s="1"/>
  <c r="D108" i="3"/>
  <c r="N18" i="4"/>
  <c r="AD44" i="10"/>
  <c r="AE44" i="10" s="1"/>
  <c r="AF44" i="10" s="1"/>
  <c r="AG44" i="10" s="1"/>
  <c r="AH44" i="10" s="1"/>
  <c r="AI44" i="10" s="1"/>
  <c r="AJ44" i="10" s="1"/>
  <c r="AK44" i="10" s="1"/>
  <c r="AL44" i="10" s="1"/>
  <c r="AM44" i="10" s="1"/>
  <c r="AN44" i="10" s="1"/>
  <c r="AD42" i="10"/>
  <c r="AE42" i="10" s="1"/>
  <c r="AF42" i="10" s="1"/>
  <c r="AG42" i="10" s="1"/>
  <c r="AH42" i="10" s="1"/>
  <c r="AI42" i="10" s="1"/>
  <c r="AJ42" i="10" s="1"/>
  <c r="AK42" i="10" s="1"/>
  <c r="AL42" i="10" s="1"/>
  <c r="AM42" i="10" s="1"/>
  <c r="Q18" i="14"/>
  <c r="Q18" i="6"/>
  <c r="R111" i="3"/>
  <c r="I39" i="9"/>
  <c r="J39" i="9" s="1"/>
  <c r="K39" i="9" s="1"/>
  <c r="L39" i="9" s="1"/>
  <c r="M39" i="9" s="1"/>
  <c r="N39" i="9" s="1"/>
  <c r="O39" i="9" s="1"/>
  <c r="P39" i="9" s="1"/>
  <c r="Q39" i="9" s="1"/>
  <c r="R39" i="9" s="1"/>
  <c r="S39" i="9" s="1"/>
  <c r="T39" i="9" s="1"/>
  <c r="U39" i="9" s="1"/>
  <c r="V39" i="9" s="1"/>
  <c r="W39" i="9" s="1"/>
  <c r="X39" i="9" s="1"/>
  <c r="Y39" i="9" s="1"/>
  <c r="Z39" i="9" s="1"/>
  <c r="AA39" i="9" s="1"/>
  <c r="AB39" i="9" s="1"/>
  <c r="AC39" i="9" s="1"/>
  <c r="AD39" i="9" s="1"/>
  <c r="AE39" i="9" s="1"/>
  <c r="AF39" i="9" s="1"/>
  <c r="AG39" i="9" s="1"/>
  <c r="AH39" i="9" s="1"/>
  <c r="AI39" i="9" s="1"/>
  <c r="AJ39" i="9" s="1"/>
  <c r="AK39" i="9" s="1"/>
  <c r="AL39" i="9" s="1"/>
  <c r="AM39" i="9" s="1"/>
  <c r="I41" i="9"/>
  <c r="I42" i="9" s="1"/>
  <c r="J42" i="9" s="1"/>
  <c r="K42" i="9" s="1"/>
  <c r="L42" i="9" s="1"/>
  <c r="M42" i="9" s="1"/>
  <c r="N42" i="9" s="1"/>
  <c r="O42" i="9" s="1"/>
  <c r="P42" i="9" s="1"/>
  <c r="Q42" i="9" s="1"/>
  <c r="R42" i="9" s="1"/>
  <c r="S42" i="9" s="1"/>
  <c r="T42" i="9" s="1"/>
  <c r="U42" i="9" s="1"/>
  <c r="V42" i="9" s="1"/>
  <c r="W42" i="9" s="1"/>
  <c r="X42" i="9" s="1"/>
  <c r="Y42" i="9" s="1"/>
  <c r="Z42" i="9" s="1"/>
  <c r="AA42" i="9" s="1"/>
  <c r="AB42" i="9" s="1"/>
  <c r="AM114" i="3" l="1"/>
  <c r="T18" i="9"/>
  <c r="AC42" i="8"/>
  <c r="AC44" i="8"/>
  <c r="AC50" i="4"/>
  <c r="AC48" i="4"/>
  <c r="AC42" i="9"/>
  <c r="AC44" i="9"/>
  <c r="D109" i="3"/>
  <c r="O18" i="4"/>
  <c r="AF108" i="3"/>
  <c r="N18" i="8"/>
  <c r="R18" i="14"/>
  <c r="R112" i="3"/>
  <c r="R18" i="6"/>
  <c r="N18" i="5"/>
  <c r="K108" i="3"/>
  <c r="AT109" i="3"/>
  <c r="O18" i="10"/>
  <c r="Y108" i="3"/>
  <c r="N18" i="7"/>
  <c r="AF50" i="5"/>
  <c r="AG50" i="5" s="1"/>
  <c r="AH50" i="5" s="1"/>
  <c r="AI50" i="5" s="1"/>
  <c r="AJ50" i="5" s="1"/>
  <c r="AK50" i="5" s="1"/>
  <c r="AL50" i="5" s="1"/>
  <c r="AM50" i="5" s="1"/>
  <c r="AN50" i="5" s="1"/>
  <c r="AF48" i="5"/>
  <c r="AG48" i="5" s="1"/>
  <c r="AH48" i="5" s="1"/>
  <c r="AI48" i="5" s="1"/>
  <c r="AJ48" i="5" s="1"/>
  <c r="AK48" i="5" s="1"/>
  <c r="AL48" i="5" s="1"/>
  <c r="AM48" i="5" s="1"/>
  <c r="AM115" i="3" l="1"/>
  <c r="U18" i="9"/>
  <c r="O18" i="5"/>
  <c r="K109" i="3"/>
  <c r="Y109" i="3"/>
  <c r="O18" i="7"/>
  <c r="P18" i="4"/>
  <c r="D110" i="3"/>
  <c r="AD44" i="9"/>
  <c r="AE44" i="9" s="1"/>
  <c r="AF44" i="9" s="1"/>
  <c r="AG44" i="9" s="1"/>
  <c r="AH44" i="9" s="1"/>
  <c r="AI44" i="9" s="1"/>
  <c r="AJ44" i="9" s="1"/>
  <c r="AK44" i="9" s="1"/>
  <c r="AL44" i="9" s="1"/>
  <c r="AM44" i="9" s="1"/>
  <c r="AN44" i="9" s="1"/>
  <c r="AD42" i="9"/>
  <c r="AE42" i="9" s="1"/>
  <c r="AF42" i="9" s="1"/>
  <c r="AG42" i="9" s="1"/>
  <c r="AH42" i="9" s="1"/>
  <c r="AI42" i="9" s="1"/>
  <c r="AJ42" i="9" s="1"/>
  <c r="AK42" i="9" s="1"/>
  <c r="AL42" i="9" s="1"/>
  <c r="AM42" i="9" s="1"/>
  <c r="AT110" i="3"/>
  <c r="P18" i="10"/>
  <c r="S18" i="6"/>
  <c r="S18" i="14"/>
  <c r="R113" i="3"/>
  <c r="AD50" i="4"/>
  <c r="AE50" i="4" s="1"/>
  <c r="AF50" i="4" s="1"/>
  <c r="AG50" i="4" s="1"/>
  <c r="AH50" i="4" s="1"/>
  <c r="AI50" i="4" s="1"/>
  <c r="AJ50" i="4" s="1"/>
  <c r="AK50" i="4" s="1"/>
  <c r="AL50" i="4" s="1"/>
  <c r="AM50" i="4" s="1"/>
  <c r="AN50" i="4" s="1"/>
  <c r="AD48" i="4"/>
  <c r="AE48" i="4" s="1"/>
  <c r="AF48" i="4" s="1"/>
  <c r="AG48" i="4" s="1"/>
  <c r="AH48" i="4" s="1"/>
  <c r="AI48" i="4" s="1"/>
  <c r="AJ48" i="4" s="1"/>
  <c r="AK48" i="4" s="1"/>
  <c r="AL48" i="4" s="1"/>
  <c r="AM48" i="4" s="1"/>
  <c r="O18" i="8"/>
  <c r="AF109" i="3"/>
  <c r="AD44" i="8"/>
  <c r="AE44" i="8" s="1"/>
  <c r="AF44" i="8" s="1"/>
  <c r="AG44" i="8" s="1"/>
  <c r="AH44" i="8" s="1"/>
  <c r="AI44" i="8" s="1"/>
  <c r="AJ44" i="8" s="1"/>
  <c r="AK44" i="8" s="1"/>
  <c r="AL44" i="8" s="1"/>
  <c r="AM44" i="8" s="1"/>
  <c r="AN44" i="8" s="1"/>
  <c r="AD42" i="8"/>
  <c r="AE42" i="8" s="1"/>
  <c r="AF42" i="8" s="1"/>
  <c r="AG42" i="8" s="1"/>
  <c r="AH42" i="8" s="1"/>
  <c r="AI42" i="8" s="1"/>
  <c r="AJ42" i="8" s="1"/>
  <c r="AK42" i="8" s="1"/>
  <c r="AL42" i="8" s="1"/>
  <c r="AM42" i="8" s="1"/>
  <c r="V18" i="9" l="1"/>
  <c r="AM116" i="3"/>
  <c r="R114" i="3"/>
  <c r="T18" i="14"/>
  <c r="T18" i="6"/>
  <c r="Q18" i="4"/>
  <c r="D111" i="3"/>
  <c r="P18" i="8"/>
  <c r="AF110" i="3"/>
  <c r="Q18" i="10"/>
  <c r="AT111" i="3"/>
  <c r="P18" i="5"/>
  <c r="K110" i="3"/>
  <c r="Y110" i="3"/>
  <c r="P18" i="7"/>
  <c r="AM117" i="3" l="1"/>
  <c r="W18" i="9"/>
  <c r="Q18" i="8"/>
  <c r="AF111" i="3"/>
  <c r="Y111" i="3"/>
  <c r="Q18" i="7"/>
  <c r="Q18" i="5"/>
  <c r="K111" i="3"/>
  <c r="R18" i="10"/>
  <c r="AT112" i="3"/>
  <c r="R18" i="4"/>
  <c r="D112" i="3"/>
  <c r="U18" i="6"/>
  <c r="U18" i="14"/>
  <c r="R115" i="3"/>
  <c r="AM118" i="3" l="1"/>
  <c r="X18" i="9"/>
  <c r="R116" i="3"/>
  <c r="V18" i="14"/>
  <c r="V18" i="6"/>
  <c r="Y112" i="3"/>
  <c r="R18" i="7"/>
  <c r="AT113" i="3"/>
  <c r="S18" i="10"/>
  <c r="AF112" i="3"/>
  <c r="R18" i="8"/>
  <c r="D113" i="3"/>
  <c r="S18" i="4"/>
  <c r="K112" i="3"/>
  <c r="R18" i="5"/>
  <c r="Y18" i="9" l="1"/>
  <c r="AM119" i="3"/>
  <c r="D114" i="3"/>
  <c r="T18" i="4"/>
  <c r="S18" i="7"/>
  <c r="Y113" i="3"/>
  <c r="S18" i="5"/>
  <c r="K113" i="3"/>
  <c r="T18" i="10"/>
  <c r="AT114" i="3"/>
  <c r="S18" i="8"/>
  <c r="AF113" i="3"/>
  <c r="W18" i="6"/>
  <c r="R117" i="3"/>
  <c r="W18" i="14"/>
  <c r="AM120" i="3" l="1"/>
  <c r="Z18" i="9"/>
  <c r="X18" i="14"/>
  <c r="R118" i="3"/>
  <c r="X18" i="6"/>
  <c r="AF114" i="3"/>
  <c r="T18" i="8"/>
  <c r="K114" i="3"/>
  <c r="T18" i="5"/>
  <c r="U18" i="4"/>
  <c r="D115" i="3"/>
  <c r="AT115" i="3"/>
  <c r="U18" i="10"/>
  <c r="Y114" i="3"/>
  <c r="T18" i="7"/>
  <c r="AM121" i="3" l="1"/>
  <c r="AA18" i="9"/>
  <c r="V18" i="10"/>
  <c r="AT116" i="3"/>
  <c r="U18" i="7"/>
  <c r="Y115" i="3"/>
  <c r="U18" i="5"/>
  <c r="K115" i="3"/>
  <c r="Y18" i="6"/>
  <c r="R119" i="3"/>
  <c r="Y18" i="14"/>
  <c r="U18" i="8"/>
  <c r="AF115" i="3"/>
  <c r="V18" i="4"/>
  <c r="D116" i="3"/>
  <c r="AM122" i="3" l="1"/>
  <c r="AB18" i="9"/>
  <c r="D117" i="3"/>
  <c r="W18" i="4"/>
  <c r="AF116" i="3"/>
  <c r="V18" i="8"/>
  <c r="V18" i="5"/>
  <c r="K116" i="3"/>
  <c r="AT117" i="3"/>
  <c r="W18" i="10"/>
  <c r="Z18" i="6"/>
  <c r="R120" i="3"/>
  <c r="Z18" i="14"/>
  <c r="Y116" i="3"/>
  <c r="V18" i="7"/>
  <c r="AC18" i="9" l="1"/>
  <c r="AM123" i="3"/>
  <c r="W18" i="8"/>
  <c r="AF117" i="3"/>
  <c r="AA18" i="14"/>
  <c r="R121" i="3"/>
  <c r="AA18" i="6"/>
  <c r="W18" i="7"/>
  <c r="Y117" i="3"/>
  <c r="W18" i="5"/>
  <c r="K117" i="3"/>
  <c r="AT118" i="3"/>
  <c r="X18" i="10"/>
  <c r="D118" i="3"/>
  <c r="X18" i="4"/>
  <c r="AD18" i="9" l="1"/>
  <c r="AM124" i="3"/>
  <c r="Y118" i="3"/>
  <c r="X18" i="7"/>
  <c r="Y18" i="4"/>
  <c r="D119" i="3"/>
  <c r="Y18" i="10"/>
  <c r="AT119" i="3"/>
  <c r="AF118" i="3"/>
  <c r="X18" i="8"/>
  <c r="K118" i="3"/>
  <c r="X18" i="5"/>
  <c r="AB18" i="6"/>
  <c r="R122" i="3"/>
  <c r="AB18" i="14"/>
  <c r="AE18" i="9" l="1"/>
  <c r="AM125" i="3"/>
  <c r="D120" i="3"/>
  <c r="Z18" i="4"/>
  <c r="Y18" i="8"/>
  <c r="AF119" i="3"/>
  <c r="Z18" i="10"/>
  <c r="AT120" i="3"/>
  <c r="Y18" i="5"/>
  <c r="K119" i="3"/>
  <c r="AC18" i="14"/>
  <c r="AC18" i="6"/>
  <c r="Y18" i="7"/>
  <c r="Y119" i="3"/>
  <c r="AM126" i="3" l="1"/>
  <c r="AF18" i="9"/>
  <c r="Y120" i="3"/>
  <c r="Z18" i="7"/>
  <c r="K120" i="3"/>
  <c r="Z18" i="5"/>
  <c r="D121" i="3"/>
  <c r="AA18" i="4"/>
  <c r="AA18" i="10"/>
  <c r="AT121" i="3"/>
  <c r="AF120" i="3"/>
  <c r="Z18" i="8"/>
  <c r="AM127" i="3" l="1"/>
  <c r="AG18" i="9"/>
  <c r="AA18" i="8"/>
  <c r="AF121" i="3"/>
  <c r="AA18" i="5"/>
  <c r="K121" i="3"/>
  <c r="D122" i="3"/>
  <c r="AB18" i="4"/>
  <c r="AT122" i="3"/>
  <c r="AB18" i="10"/>
  <c r="AA18" i="7"/>
  <c r="Y121" i="3"/>
  <c r="AM128" i="3" l="1"/>
  <c r="AH18" i="9"/>
  <c r="AC18" i="10"/>
  <c r="AT123" i="3"/>
  <c r="Y122" i="3"/>
  <c r="AC18" i="7" s="1"/>
  <c r="AB18" i="7"/>
  <c r="AB18" i="8"/>
  <c r="AF122" i="3"/>
  <c r="AC18" i="4"/>
  <c r="D123" i="3"/>
  <c r="AB18" i="5"/>
  <c r="K122" i="3"/>
  <c r="AI18" i="9" l="1"/>
  <c r="AM129" i="3"/>
  <c r="AC18" i="5"/>
  <c r="K123" i="3"/>
  <c r="AC18" i="8"/>
  <c r="AF123" i="3"/>
  <c r="AD18" i="10"/>
  <c r="AT124" i="3"/>
  <c r="AD18" i="4"/>
  <c r="D124" i="3"/>
  <c r="AJ18" i="9" l="1"/>
  <c r="AM130" i="3"/>
  <c r="AT125" i="3"/>
  <c r="AE18" i="10"/>
  <c r="AD18" i="5"/>
  <c r="K124" i="3"/>
  <c r="AE18" i="4"/>
  <c r="D125" i="3"/>
  <c r="AD18" i="8"/>
  <c r="AF124" i="3"/>
  <c r="AM131" i="3" l="1"/>
  <c r="AK18" i="9"/>
  <c r="AF18" i="4"/>
  <c r="D126" i="3"/>
  <c r="AT126" i="3"/>
  <c r="AF18" i="10"/>
  <c r="AE18" i="8"/>
  <c r="AF125" i="3"/>
  <c r="AE18" i="5"/>
  <c r="K125" i="3"/>
  <c r="AM132" i="3" l="1"/>
  <c r="AM18" i="9" s="1"/>
  <c r="AL18" i="9"/>
  <c r="AT127" i="3"/>
  <c r="AG18" i="10"/>
  <c r="AF18" i="8"/>
  <c r="AF126" i="3"/>
  <c r="D127" i="3"/>
  <c r="AG18" i="4"/>
  <c r="AF18" i="5"/>
  <c r="K126" i="3"/>
  <c r="AH18" i="4" l="1"/>
  <c r="D128" i="3"/>
  <c r="AH18" i="10"/>
  <c r="AT128" i="3"/>
  <c r="AG18" i="5"/>
  <c r="K127" i="3"/>
  <c r="AG18" i="8"/>
  <c r="AF127" i="3"/>
  <c r="AH18" i="5" l="1"/>
  <c r="K128" i="3"/>
  <c r="AI18" i="4"/>
  <c r="D129" i="3"/>
  <c r="AH18" i="8"/>
  <c r="AF128" i="3"/>
  <c r="AT129" i="3"/>
  <c r="AI18" i="10"/>
  <c r="AJ18" i="10" l="1"/>
  <c r="AT130" i="3"/>
  <c r="AI18" i="8"/>
  <c r="AF129" i="3"/>
  <c r="AI18" i="5"/>
  <c r="K129" i="3"/>
  <c r="AJ18" i="4"/>
  <c r="D130" i="3"/>
  <c r="AJ18" i="5" l="1"/>
  <c r="K130" i="3"/>
  <c r="AT131" i="3"/>
  <c r="AK18" i="10"/>
  <c r="AK18" i="4"/>
  <c r="D131" i="3"/>
  <c r="AJ18" i="8"/>
  <c r="AF130" i="3"/>
  <c r="AL18" i="10" l="1"/>
  <c r="AT132" i="3"/>
  <c r="AM18" i="10" s="1"/>
  <c r="AL18" i="4"/>
  <c r="D132" i="3"/>
  <c r="AM18" i="4" s="1"/>
  <c r="AK18" i="5"/>
  <c r="K131" i="3"/>
  <c r="AK18" i="8"/>
  <c r="AF131" i="3"/>
  <c r="K132" i="3" l="1"/>
  <c r="AM18" i="5" s="1"/>
  <c r="AL18" i="5"/>
  <c r="AL18" i="8"/>
  <c r="AF132" i="3"/>
  <c r="AM18" i="8" s="1"/>
</calcChain>
</file>

<file path=xl/sharedStrings.xml><?xml version="1.0" encoding="utf-8"?>
<sst xmlns="http://schemas.openxmlformats.org/spreadsheetml/2006/main" count="1139" uniqueCount="252">
  <si>
    <t>Production</t>
  </si>
  <si>
    <t>Coal feedrate</t>
  </si>
  <si>
    <t>te/h</t>
  </si>
  <si>
    <t>MW</t>
  </si>
  <si>
    <t>Net power ouput</t>
  </si>
  <si>
    <t>Sulphur for export</t>
  </si>
  <si>
    <t>Capital Expenditure</t>
  </si>
  <si>
    <t>Installed cost</t>
  </si>
  <si>
    <t>Land purchase, surveys</t>
  </si>
  <si>
    <t>Fees</t>
  </si>
  <si>
    <t>Contingencies</t>
  </si>
  <si>
    <t>Total Investment Cost</t>
  </si>
  <si>
    <t>UK£ (million)</t>
  </si>
  <si>
    <t>Operating Costs</t>
  </si>
  <si>
    <t>UK£ (million/year)</t>
  </si>
  <si>
    <t>Expenditure factor</t>
  </si>
  <si>
    <t>Revenues</t>
  </si>
  <si>
    <t>Electricity</t>
  </si>
  <si>
    <t>Sulphur</t>
  </si>
  <si>
    <t>Operating costs</t>
  </si>
  <si>
    <t>Maintenance</t>
  </si>
  <si>
    <t>Labour</t>
  </si>
  <si>
    <t>Chemicals and Consumables</t>
  </si>
  <si>
    <t>Waste Disposal</t>
  </si>
  <si>
    <t>Insurance</t>
  </si>
  <si>
    <t>CASH FLOW ANALYSIS</t>
  </si>
  <si>
    <t>UK£/te</t>
  </si>
  <si>
    <t>THE ENERGY TECHNOLOGIES INSTITUTE</t>
  </si>
  <si>
    <t>Economic Model</t>
  </si>
  <si>
    <t>Benchmarking and Performance Analysis of Next Generation Carbon Capture Technologies</t>
  </si>
  <si>
    <t>Input Data</t>
  </si>
  <si>
    <t>General Information</t>
  </si>
  <si>
    <t>Model Contents</t>
  </si>
  <si>
    <t>Title Page</t>
  </si>
  <si>
    <t>Introduction page</t>
  </si>
  <si>
    <t>Author</t>
  </si>
  <si>
    <t>Contents</t>
  </si>
  <si>
    <t>Purpose</t>
  </si>
  <si>
    <t>General input values for all calculations &amp; scenario selection.</t>
  </si>
  <si>
    <t>Scope</t>
  </si>
  <si>
    <t>Basis</t>
  </si>
  <si>
    <t>Version Control</t>
  </si>
  <si>
    <t>Status</t>
  </si>
  <si>
    <t>Release Date</t>
  </si>
  <si>
    <t>Version Number</t>
  </si>
  <si>
    <t>Version History</t>
  </si>
  <si>
    <t>Running Procedures</t>
  </si>
  <si>
    <t>Comments</t>
  </si>
  <si>
    <t>Save the file under a new filename</t>
  </si>
  <si>
    <t>Enter a unique identifier for the dataset</t>
  </si>
  <si>
    <t>Check data and verify reports. Print out required reports</t>
  </si>
  <si>
    <t>This page, tracks version control and changes</t>
  </si>
  <si>
    <t>IGCC with CC</t>
  </si>
  <si>
    <t>IGCC without CC</t>
  </si>
  <si>
    <t>CCGT without CC</t>
  </si>
  <si>
    <t>USCPC with CC</t>
  </si>
  <si>
    <t>USCPC without CC</t>
  </si>
  <si>
    <t>Oxyfuel with CC</t>
  </si>
  <si>
    <t>Summary Results</t>
  </si>
  <si>
    <t>Summary of key results</t>
  </si>
  <si>
    <t>Cash flow analysis for the oxyfuel case with carbon capture</t>
  </si>
  <si>
    <t>Cash flow analysis for the IGCC case with carbon capture</t>
  </si>
  <si>
    <t>Cash flow analysis for the IGCC case without carbon capture</t>
  </si>
  <si>
    <t>Cash flow analysis for the CCGT case without carbon capture</t>
  </si>
  <si>
    <t>Cash flow analysis for the USCPC case with carbon capture</t>
  </si>
  <si>
    <t>Cash flow analysis for the USCPC case without carbon capture</t>
  </si>
  <si>
    <t>Tim Bullen, Foster Wheeler</t>
  </si>
  <si>
    <t>Feedstock rate</t>
  </si>
  <si>
    <t>Coal</t>
  </si>
  <si>
    <t>Natural Gas</t>
  </si>
  <si>
    <t>te/hr</t>
  </si>
  <si>
    <t>Capital Cost Data</t>
  </si>
  <si>
    <t>Adj. Factor</t>
  </si>
  <si>
    <t>Operating Cost Data</t>
  </si>
  <si>
    <t>Raw Value</t>
  </si>
  <si>
    <t>Adjusted Value</t>
  </si>
  <si>
    <t>Fuel Cost</t>
  </si>
  <si>
    <t>Chemicals &amp; Consumables</t>
  </si>
  <si>
    <t>Power / Performance Data</t>
  </si>
  <si>
    <t>Feedstocks</t>
  </si>
  <si>
    <t>Installed Gross Capacity</t>
  </si>
  <si>
    <t>Gas Turbines</t>
  </si>
  <si>
    <t>Steam Turbine</t>
  </si>
  <si>
    <t>Expansion Turbine</t>
  </si>
  <si>
    <t>MWe</t>
  </si>
  <si>
    <t>Total Auxiliary Load</t>
  </si>
  <si>
    <t>Net Power Export (New &amp; Clean)</t>
  </si>
  <si>
    <t>n/a</t>
  </si>
  <si>
    <t>CO2 Captured</t>
  </si>
  <si>
    <t>g / kWhr (Net)</t>
  </si>
  <si>
    <t>Sulphur Produced</t>
  </si>
  <si>
    <t>Coal Drying</t>
  </si>
  <si>
    <t>Gasification</t>
  </si>
  <si>
    <t>Air Separation</t>
  </si>
  <si>
    <t>Acid Gas Removal</t>
  </si>
  <si>
    <t>Sulphur Plant</t>
  </si>
  <si>
    <t>Syngas Treatment Plant</t>
  </si>
  <si>
    <t>Hydrogen</t>
  </si>
  <si>
    <t>Data From Process Simulations</t>
  </si>
  <si>
    <t>Data From CAPEX and OPEX Estimates</t>
  </si>
  <si>
    <t>User Input Variables</t>
  </si>
  <si>
    <t>Coal Price</t>
  </si>
  <si>
    <t>Natural Gas Price</t>
  </si>
  <si>
    <t>Revenue Variables</t>
  </si>
  <si>
    <t>Sulphur Price</t>
  </si>
  <si>
    <t>Hydrogen Price</t>
  </si>
  <si>
    <t>Number of operations personnel</t>
  </si>
  <si>
    <t>Average salary options personnel</t>
  </si>
  <si>
    <t>Admin allowance (% of operation personnel cost)</t>
  </si>
  <si>
    <t>Contingency</t>
  </si>
  <si>
    <t>YEAR</t>
  </si>
  <si>
    <t>Project Internal Rate of Return</t>
  </si>
  <si>
    <t>Gross Power Output</t>
  </si>
  <si>
    <t>Oxygen Consumption</t>
  </si>
  <si>
    <t>Carbon Dioxide</t>
  </si>
  <si>
    <t>Year 1 of Plant</t>
  </si>
  <si>
    <t>Start Project year 1</t>
  </si>
  <si>
    <t>Start Project year 2</t>
  </si>
  <si>
    <t>Start Project year 3</t>
  </si>
  <si>
    <t>years</t>
  </si>
  <si>
    <t>Electricity Price</t>
  </si>
  <si>
    <t>Labour Cost</t>
  </si>
  <si>
    <t xml:space="preserve">Admin </t>
  </si>
  <si>
    <t>Waste</t>
  </si>
  <si>
    <t>Insurance + Local Taxes</t>
  </si>
  <si>
    <t>Installed Cost</t>
  </si>
  <si>
    <t>UK£/year (million)</t>
  </si>
  <si>
    <t xml:space="preserve">Discounted Rate: </t>
  </si>
  <si>
    <t>Discounted Cash Flow (yearly)</t>
  </si>
  <si>
    <t>Total Cash Flow (yearly)</t>
  </si>
  <si>
    <t>Total Cash Flow (accumulated)</t>
  </si>
  <si>
    <t>Discounted Cash Flow (accumulated)</t>
  </si>
  <si>
    <t>Fixed Capital Expenditure</t>
  </si>
  <si>
    <t>Total Labour Cost</t>
  </si>
  <si>
    <t>Power Island</t>
  </si>
  <si>
    <t>UK£/year</t>
  </si>
  <si>
    <t>UK£/kWh</t>
  </si>
  <si>
    <t>Discounted Rate</t>
  </si>
  <si>
    <t>UK£(million)</t>
  </si>
  <si>
    <t>Availability</t>
  </si>
  <si>
    <t>Load</t>
  </si>
  <si>
    <t>Factors</t>
  </si>
  <si>
    <t>Offsite &amp; Utilities</t>
  </si>
  <si>
    <t>H2 Prod'n</t>
  </si>
  <si>
    <t>Air Separation Unit</t>
  </si>
  <si>
    <t>Gasification island / Boiler</t>
  </si>
  <si>
    <t>Acid Gas Removal Unit</t>
  </si>
  <si>
    <t>Other Units (offsites &amp; Utilities)</t>
  </si>
  <si>
    <t>CO2 Drying Unit</t>
  </si>
  <si>
    <t>CO2 Compression Unit</t>
  </si>
  <si>
    <t>TOTAL</t>
  </si>
  <si>
    <t>Load factor - Hydrogen Production</t>
  </si>
  <si>
    <t>Load factor - Power Island</t>
  </si>
  <si>
    <t>Availability - Hydrogen Production</t>
  </si>
  <si>
    <t>Availability - Power Island</t>
  </si>
  <si>
    <t>Equivalent yearly hours - Hydrogen Production</t>
  </si>
  <si>
    <t>Equivalent yearly hours - Power Island</t>
  </si>
  <si>
    <t>Fuel (Coal)</t>
  </si>
  <si>
    <t>OxyFuel</t>
  </si>
  <si>
    <t>Load factor</t>
  </si>
  <si>
    <t xml:space="preserve">Availability </t>
  </si>
  <si>
    <t xml:space="preserve">Load factor </t>
  </si>
  <si>
    <t xml:space="preserve">Equivalent yearly hours </t>
  </si>
  <si>
    <t>Equivalent yearly hours</t>
  </si>
  <si>
    <t>Nat Gas Feedrate</t>
  </si>
  <si>
    <t>Coal Feedrate</t>
  </si>
  <si>
    <t>Net Power Ouput</t>
  </si>
  <si>
    <t>Year -1</t>
  </si>
  <si>
    <t>Year -2</t>
  </si>
  <si>
    <t>Year -3</t>
  </si>
  <si>
    <t xml:space="preserve"> </t>
  </si>
  <si>
    <t>IGCC w CC</t>
  </si>
  <si>
    <t>IGCC w/o CC</t>
  </si>
  <si>
    <t>USCPC w CC</t>
  </si>
  <si>
    <t>USCPC wo CC</t>
  </si>
  <si>
    <t>CCGT w/o CC</t>
  </si>
  <si>
    <t>Oxyfuel</t>
  </si>
  <si>
    <t>Case 1A</t>
  </si>
  <si>
    <t>Case 1B</t>
  </si>
  <si>
    <t>Case 2A</t>
  </si>
  <si>
    <t>Case 2B</t>
  </si>
  <si>
    <t>Case 3A</t>
  </si>
  <si>
    <t>Case 3B</t>
  </si>
  <si>
    <t>Case 4</t>
  </si>
  <si>
    <t>Power Production</t>
  </si>
  <si>
    <t>Electricity Production Cost</t>
  </si>
  <si>
    <t>%</t>
  </si>
  <si>
    <t>£ / te</t>
  </si>
  <si>
    <t>UK£(million)/year</t>
  </si>
  <si>
    <t>Fuel (Natural Gas)</t>
  </si>
  <si>
    <r>
      <t>CO</t>
    </r>
    <r>
      <rPr>
        <vertAlign val="subscript"/>
        <sz val="10"/>
        <color indexed="12"/>
        <rFont val="Arial"/>
        <family val="2"/>
      </rPr>
      <t>2</t>
    </r>
    <r>
      <rPr>
        <sz val="10"/>
        <color indexed="12"/>
        <rFont val="Arial"/>
        <family val="2"/>
      </rPr>
      <t xml:space="preserve"> Compression</t>
    </r>
  </si>
  <si>
    <r>
      <t>CO</t>
    </r>
    <r>
      <rPr>
        <vertAlign val="subscript"/>
        <sz val="10"/>
        <color indexed="12"/>
        <rFont val="Arial"/>
        <family val="2"/>
      </rPr>
      <t>2</t>
    </r>
    <r>
      <rPr>
        <sz val="10"/>
        <color indexed="12"/>
        <rFont val="Arial"/>
        <family val="2"/>
      </rPr>
      <t xml:space="preserve"> Produced</t>
    </r>
  </si>
  <si>
    <r>
      <t>CO</t>
    </r>
    <r>
      <rPr>
        <vertAlign val="subscript"/>
        <sz val="10"/>
        <color indexed="12"/>
        <rFont val="Arial"/>
        <family val="2"/>
      </rPr>
      <t>2</t>
    </r>
    <r>
      <rPr>
        <sz val="10"/>
        <color indexed="12"/>
        <rFont val="Arial"/>
        <family val="2"/>
      </rPr>
      <t xml:space="preserve"> Captured</t>
    </r>
  </si>
  <si>
    <r>
      <t>CO</t>
    </r>
    <r>
      <rPr>
        <vertAlign val="subscript"/>
        <sz val="10"/>
        <color indexed="12"/>
        <rFont val="Arial"/>
        <family val="2"/>
      </rPr>
      <t>2</t>
    </r>
    <r>
      <rPr>
        <sz val="10"/>
        <color indexed="12"/>
        <rFont val="Arial"/>
        <family val="2"/>
      </rPr>
      <t xml:space="preserve"> Emissions</t>
    </r>
  </si>
  <si>
    <r>
      <t>Specific CO</t>
    </r>
    <r>
      <rPr>
        <vertAlign val="subscript"/>
        <sz val="10"/>
        <color indexed="12"/>
        <rFont val="Arial"/>
        <family val="2"/>
      </rPr>
      <t>2</t>
    </r>
    <r>
      <rPr>
        <sz val="10"/>
        <color indexed="12"/>
        <rFont val="Arial"/>
        <family val="2"/>
      </rPr>
      <t xml:space="preserve"> Emissions</t>
    </r>
  </si>
  <si>
    <t>Discount Rate</t>
  </si>
  <si>
    <t>Levelised Cost of Electricity</t>
  </si>
  <si>
    <r>
      <t>CO</t>
    </r>
    <r>
      <rPr>
        <vertAlign val="subscript"/>
        <sz val="10"/>
        <rFont val="Arial"/>
        <family val="2"/>
      </rPr>
      <t>2</t>
    </r>
    <r>
      <rPr>
        <sz val="10"/>
        <rFont val="Arial"/>
        <family val="2"/>
      </rPr>
      <t xml:space="preserve"> Emissions </t>
    </r>
  </si>
  <si>
    <t>CO2 Emissions</t>
  </si>
  <si>
    <r>
      <t>CO</t>
    </r>
    <r>
      <rPr>
        <vertAlign val="subscript"/>
        <sz val="10"/>
        <rFont val="Arial"/>
        <family val="2"/>
      </rPr>
      <t>2</t>
    </r>
    <r>
      <rPr>
        <sz val="10"/>
        <rFont val="Arial"/>
        <family val="2"/>
      </rPr>
      <t xml:space="preserve"> Emissions</t>
    </r>
  </si>
  <si>
    <t>Other Products</t>
  </si>
  <si>
    <t>Hydrogen Produced (ex syngas production unit)</t>
  </si>
  <si>
    <t>Project Life (can be 20, 25 or 30 years)</t>
  </si>
  <si>
    <t>Hidden acc cf</t>
  </si>
  <si>
    <t>model sheets by pressing the "Update Economic Model" button.</t>
  </si>
  <si>
    <t>Enter any required adjustments on the "Input Data" dataset only.  Update the individual economic</t>
  </si>
  <si>
    <t>Final</t>
  </si>
  <si>
    <t>tpa</t>
  </si>
  <si>
    <t>£ / MWh</t>
  </si>
  <si>
    <t>Hydrogen Exported</t>
  </si>
  <si>
    <t>CCGT with 75% CC</t>
  </si>
  <si>
    <t>CCGT with 90% CC</t>
  </si>
  <si>
    <t>Cash flow analysis for the CCGT case with 90% carbon capture</t>
  </si>
  <si>
    <t>Cash flow analysis for the CCGT case with 75% carbon capture</t>
  </si>
  <si>
    <t>CCGT w 90% CC</t>
  </si>
  <si>
    <t>CCGT w 75% CC</t>
  </si>
  <si>
    <t>Case 3A(ii)</t>
  </si>
  <si>
    <t>Carbon Capture Efficiency</t>
  </si>
  <si>
    <r>
      <t>MW</t>
    </r>
    <r>
      <rPr>
        <vertAlign val="subscript"/>
        <sz val="8"/>
        <rFont val="Arial"/>
        <family val="2"/>
      </rPr>
      <t>gross</t>
    </r>
  </si>
  <si>
    <r>
      <t>MW</t>
    </r>
    <r>
      <rPr>
        <vertAlign val="subscript"/>
        <sz val="8"/>
        <rFont val="Arial"/>
        <family val="2"/>
      </rPr>
      <t>net</t>
    </r>
  </si>
  <si>
    <r>
      <t>CO</t>
    </r>
    <r>
      <rPr>
        <vertAlign val="subscript"/>
        <sz val="8"/>
        <rFont val="Arial"/>
        <family val="2"/>
      </rPr>
      <t>2</t>
    </r>
    <r>
      <rPr>
        <sz val="8"/>
        <rFont val="Arial"/>
        <family val="2"/>
      </rPr>
      <t xml:space="preserve"> Produced</t>
    </r>
  </si>
  <si>
    <r>
      <t>CO</t>
    </r>
    <r>
      <rPr>
        <vertAlign val="subscript"/>
        <sz val="8"/>
        <rFont val="Arial"/>
        <family val="2"/>
      </rPr>
      <t>2</t>
    </r>
    <r>
      <rPr>
        <sz val="8"/>
        <rFont val="Arial"/>
        <family val="2"/>
      </rPr>
      <t xml:space="preserve"> Emitted</t>
    </r>
  </si>
  <si>
    <r>
      <t>CO</t>
    </r>
    <r>
      <rPr>
        <vertAlign val="subscript"/>
        <sz val="8"/>
        <rFont val="Arial"/>
        <family val="2"/>
      </rPr>
      <t>2</t>
    </r>
    <r>
      <rPr>
        <sz val="8"/>
        <rFont val="Arial"/>
        <family val="2"/>
      </rPr>
      <t xml:space="preserve"> Emissions Cost</t>
    </r>
  </si>
  <si>
    <r>
      <t>£ / te CO</t>
    </r>
    <r>
      <rPr>
        <vertAlign val="subscript"/>
        <sz val="8"/>
        <rFont val="Arial"/>
        <family val="2"/>
      </rPr>
      <t>2</t>
    </r>
  </si>
  <si>
    <r>
      <t>Specific CO</t>
    </r>
    <r>
      <rPr>
        <vertAlign val="subscript"/>
        <sz val="8"/>
        <rFont val="Arial"/>
        <family val="2"/>
      </rPr>
      <t>2</t>
    </r>
    <r>
      <rPr>
        <sz val="8"/>
        <rFont val="Arial"/>
        <family val="2"/>
      </rPr>
      <t xml:space="preserve"> Emissions (Gross)</t>
    </r>
  </si>
  <si>
    <r>
      <t>g / KWh</t>
    </r>
    <r>
      <rPr>
        <vertAlign val="subscript"/>
        <sz val="8"/>
        <rFont val="Arial"/>
        <family val="2"/>
      </rPr>
      <t>gross</t>
    </r>
  </si>
  <si>
    <r>
      <t>Specific CO</t>
    </r>
    <r>
      <rPr>
        <vertAlign val="subscript"/>
        <sz val="8"/>
        <rFont val="Arial"/>
        <family val="2"/>
      </rPr>
      <t>2</t>
    </r>
    <r>
      <rPr>
        <sz val="8"/>
        <rFont val="Arial"/>
        <family val="2"/>
      </rPr>
      <t xml:space="preserve"> Emissions (Net)</t>
    </r>
  </si>
  <si>
    <r>
      <t>g / Kwh</t>
    </r>
    <r>
      <rPr>
        <vertAlign val="subscript"/>
        <sz val="8"/>
        <rFont val="Arial"/>
        <family val="2"/>
      </rPr>
      <t>net</t>
    </r>
  </si>
  <si>
    <r>
      <t>CO</t>
    </r>
    <r>
      <rPr>
        <vertAlign val="subscript"/>
        <sz val="8"/>
        <rFont val="Arial"/>
        <family val="2"/>
      </rPr>
      <t>2</t>
    </r>
    <r>
      <rPr>
        <sz val="8"/>
        <rFont val="Arial"/>
        <family val="2"/>
      </rPr>
      <t xml:space="preserve"> Captured (Removed) Cost</t>
    </r>
  </si>
  <si>
    <r>
      <t>CO</t>
    </r>
    <r>
      <rPr>
        <vertAlign val="subscript"/>
        <sz val="8"/>
        <rFont val="Arial"/>
        <family val="2"/>
      </rPr>
      <t>2</t>
    </r>
    <r>
      <rPr>
        <sz val="8"/>
        <rFont val="Arial"/>
        <family val="2"/>
      </rPr>
      <t xml:space="preserve"> Avoided Cost</t>
    </r>
  </si>
  <si>
    <r>
      <t>Cost of CO</t>
    </r>
    <r>
      <rPr>
        <b/>
        <vertAlign val="subscript"/>
        <sz val="8"/>
        <rFont val="Arial"/>
        <family val="2"/>
      </rPr>
      <t>2</t>
    </r>
    <r>
      <rPr>
        <b/>
        <sz val="8"/>
        <rFont val="Arial"/>
        <family val="2"/>
      </rPr>
      <t xml:space="preserve"> Captured (Removed) and Avoided</t>
    </r>
  </si>
  <si>
    <r>
      <t>CO</t>
    </r>
    <r>
      <rPr>
        <vertAlign val="subscript"/>
        <sz val="8"/>
        <rFont val="Arial"/>
        <family val="2"/>
      </rPr>
      <t>2</t>
    </r>
    <r>
      <rPr>
        <sz val="8"/>
        <rFont val="Arial"/>
        <family val="2"/>
      </rPr>
      <t xml:space="preserve"> Captured (Removed) costs are calculated using the following equation:</t>
    </r>
  </si>
  <si>
    <r>
      <t>CO</t>
    </r>
    <r>
      <rPr>
        <vertAlign val="subscript"/>
        <sz val="8"/>
        <rFont val="Arial"/>
        <family val="2"/>
      </rPr>
      <t>2</t>
    </r>
    <r>
      <rPr>
        <sz val="8"/>
        <rFont val="Arial"/>
        <family val="2"/>
      </rPr>
      <t xml:space="preserve"> Captured (Removed)  [£ / te] = </t>
    </r>
  </si>
  <si>
    <r>
      <t>(Electricty Cost</t>
    </r>
    <r>
      <rPr>
        <vertAlign val="subscript"/>
        <sz val="8"/>
        <rFont val="Arial"/>
        <family val="2"/>
      </rPr>
      <t>w CO2 removal</t>
    </r>
    <r>
      <rPr>
        <sz val="8"/>
        <rFont val="Arial"/>
        <family val="2"/>
      </rPr>
      <t xml:space="preserve"> - Electricity Cost </t>
    </r>
    <r>
      <rPr>
        <vertAlign val="subscript"/>
        <sz val="8"/>
        <rFont val="Arial"/>
        <family val="2"/>
      </rPr>
      <t>w/o CO2 removal</t>
    </r>
    <r>
      <rPr>
        <sz val="8"/>
        <rFont val="Arial"/>
        <family val="2"/>
      </rPr>
      <t>) [ £ / kWh ]</t>
    </r>
  </si>
  <si>
    <r>
      <t>CO</t>
    </r>
    <r>
      <rPr>
        <vertAlign val="subscript"/>
        <sz val="8"/>
        <rFont val="Arial"/>
        <family val="2"/>
      </rPr>
      <t>2</t>
    </r>
    <r>
      <rPr>
        <sz val="8"/>
        <rFont val="Arial"/>
        <family val="2"/>
      </rPr>
      <t xml:space="preserve"> removed [ te / kWh ]</t>
    </r>
  </si>
  <si>
    <r>
      <t>CO</t>
    </r>
    <r>
      <rPr>
        <vertAlign val="subscript"/>
        <sz val="8"/>
        <rFont val="Arial"/>
        <family val="2"/>
      </rPr>
      <t>2</t>
    </r>
    <r>
      <rPr>
        <sz val="8"/>
        <rFont val="Arial"/>
        <family val="2"/>
      </rPr>
      <t xml:space="preserve"> Avoided costs are calculated using the following equation:</t>
    </r>
  </si>
  <si>
    <r>
      <t>CO</t>
    </r>
    <r>
      <rPr>
        <vertAlign val="subscript"/>
        <sz val="8"/>
        <rFont val="Arial"/>
        <family val="2"/>
      </rPr>
      <t>2</t>
    </r>
    <r>
      <rPr>
        <sz val="8"/>
        <rFont val="Arial"/>
        <family val="2"/>
      </rPr>
      <t xml:space="preserve"> Avoided [£ / te] = </t>
    </r>
  </si>
  <si>
    <r>
      <t>(Specific Emissions</t>
    </r>
    <r>
      <rPr>
        <vertAlign val="subscript"/>
        <sz val="8"/>
        <rFont val="Arial"/>
        <family val="2"/>
      </rPr>
      <t>wo CO2 removal</t>
    </r>
    <r>
      <rPr>
        <sz val="8"/>
        <rFont val="Arial"/>
        <family val="2"/>
      </rPr>
      <t xml:space="preserve"> - Specifc Emissions</t>
    </r>
    <r>
      <rPr>
        <vertAlign val="subscript"/>
        <sz val="8"/>
        <rFont val="Arial"/>
        <family val="2"/>
      </rPr>
      <t>w CO2 removal</t>
    </r>
    <r>
      <rPr>
        <sz val="8"/>
        <rFont val="Arial"/>
        <family val="2"/>
      </rPr>
      <t>) [ te / kWh ]</t>
    </r>
  </si>
  <si>
    <t>3rd November 2009</t>
  </si>
  <si>
    <t>1.0  -  Amendment to CAPEX estimate for WP1 report</t>
  </si>
  <si>
    <t>Programme Area:</t>
  </si>
  <si>
    <t>Carbon Capture and Storage</t>
  </si>
  <si>
    <t>Project:</t>
  </si>
  <si>
    <t>Next Gen Capture Tech Benchmarking and Performance Analysis</t>
  </si>
  <si>
    <t>Title:</t>
  </si>
  <si>
    <t>Benchmarking and Performance Analysis of Future CO2 Capture Technologies – Economic Model</t>
  </si>
  <si>
    <t>Abstract:</t>
  </si>
  <si>
    <t>This spreadsheet model was produced as part of the CCS Capture Benchmarking Study, and provides a techno-economic analysis of the performance of four state-of-the art power generation/CO2 capture designs (coal with post-combustion capture, coal with gasification/pre-combustion capture, coal with oxy-firing and combined cycle gas turbine with post-combustion capture). The spreadsheet enables ‘what if’ calculations of costs for designs with 85%, 90% and 95% capture rates. Outputs include capital costs, operating costs, cost of capture and levelised cost of electricity (LCOE). The spreadsheet concentrates on power generation, capture and compression, but allows manual input of transport and storage costs to provide overall figures. The model is partly superseded by work undertaken and reported in the Benchmark Refresh project.</t>
  </si>
  <si>
    <t>Context:</t>
  </si>
  <si>
    <t>This project provided ETI with an objective view of the techno-economic performance of a range of current and next generation CO2 capture technologies including pre and post combustion and oxyfuel CCS plant.  The analysis that underpins these benchmarking studies was based on coal and gas fired power station designs typical of those found in the UK and considered parameters such as power station capital cost, efficiency and levelised cost of electricity (with and without CCS).</t>
  </si>
  <si>
    <t>Disclaimer:</t>
  </si>
  <si>
    <t>The Energy Technologies Institute is making this document available to use under the Energy Technologies Institute Open Licence for Materials. Please refer to the Energy Technologies Institute website for the terms and conditions of this licence. The Information is licensed ‘as is’ and the Energy Technologies Institute excludes all representations, warranties, obligations and liabilities in relation to the Information to the maximum extent permitted by law. The Energy Technologies Institute is not liable for any errors or omissions in the Information and shall not be liable for any loss, injury or damage of any kind caused by its use. This exclusion of liability includes, but is not limited to, any direct, indirect, special, incidental, consequential, punitive, or exemplary damages in each case such as loss of revenue, data, anticipated profits, and lost business. The Energy Technologies Institute does not guarantee the continued supply of the Information. Notwithstanding any statement to the contrary contained on the face of this document, the Energy Technologies Institute confirms that the authors of the document have consented to its publication by the Energy Technologies Institute.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</si>
</sst>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00"/>
    <numFmt numFmtId="167" formatCode="0.000"/>
    <numFmt numFmtId="168" formatCode="_-* #,##0_-;\-* #,##0_-;_-* &quot;-&quot;??_-;_-@_-"/>
  </numFmts>
  <fonts count="43" x14ac:knownFonts="1">
    <font>
      <sz val="10"/>
      <name val="Arial"/>
    </font>
    <font>
      <sz val="11"/>
      <color theme="1"/>
      <name val="Arial"/>
      <family val="2"/>
    </font>
    <font>
      <sz val="10"/>
      <name val="Arial"/>
      <family val="2"/>
    </font>
    <font>
      <b/>
      <sz val="10"/>
      <name val="Arial"/>
      <family val="2"/>
    </font>
    <font>
      <sz val="8"/>
      <name val="Arial"/>
      <family val="2"/>
    </font>
    <font>
      <sz val="10"/>
      <name val="Arial"/>
      <family val="2"/>
    </font>
    <font>
      <sz val="20"/>
      <name val="Arial"/>
      <family val="2"/>
    </font>
    <font>
      <b/>
      <sz val="20"/>
      <name val="Arial"/>
      <family val="2"/>
    </font>
    <font>
      <b/>
      <sz val="16"/>
      <name val="Arial"/>
      <family val="2"/>
    </font>
    <font>
      <b/>
      <sz val="10"/>
      <name val="Arial"/>
      <family val="2"/>
    </font>
    <font>
      <sz val="6"/>
      <name val="Arial"/>
      <family val="2"/>
    </font>
    <font>
      <sz val="10"/>
      <color indexed="12"/>
      <name val="Arial"/>
      <family val="2"/>
    </font>
    <font>
      <b/>
      <sz val="14"/>
      <name val="Arial"/>
      <family val="2"/>
    </font>
    <font>
      <b/>
      <sz val="18"/>
      <name val="Arial"/>
      <family val="2"/>
    </font>
    <font>
      <b/>
      <i/>
      <sz val="10"/>
      <name val="Arial"/>
      <family val="2"/>
    </font>
    <font>
      <b/>
      <sz val="10"/>
      <color indexed="12"/>
      <name val="Arial"/>
      <family val="2"/>
    </font>
    <font>
      <b/>
      <u/>
      <sz val="12"/>
      <name val="Arial"/>
      <family val="2"/>
    </font>
    <font>
      <sz val="10"/>
      <color indexed="10"/>
      <name val="Arial"/>
      <family val="2"/>
    </font>
    <font>
      <b/>
      <u/>
      <sz val="10"/>
      <color indexed="12"/>
      <name val="Arial"/>
      <family val="2"/>
    </font>
    <font>
      <sz val="10"/>
      <color indexed="12"/>
      <name val="Arial"/>
      <family val="2"/>
    </font>
    <font>
      <sz val="6"/>
      <color indexed="12"/>
      <name val="Arial"/>
      <family val="2"/>
    </font>
    <font>
      <i/>
      <sz val="10"/>
      <color indexed="12"/>
      <name val="Arial"/>
      <family val="2"/>
    </font>
    <font>
      <b/>
      <u/>
      <sz val="12"/>
      <color indexed="12"/>
      <name val="Arial"/>
      <family val="2"/>
    </font>
    <font>
      <sz val="10"/>
      <color indexed="53"/>
      <name val="Arial"/>
      <family val="2"/>
    </font>
    <font>
      <b/>
      <sz val="14"/>
      <name val="Arial"/>
      <family val="2"/>
    </font>
    <font>
      <sz val="10"/>
      <color indexed="10"/>
      <name val="Arial"/>
      <family val="2"/>
    </font>
    <font>
      <b/>
      <sz val="10"/>
      <color indexed="10"/>
      <name val="Arial"/>
      <family val="2"/>
    </font>
    <font>
      <sz val="14"/>
      <name val="Arial"/>
      <family val="2"/>
    </font>
    <font>
      <b/>
      <sz val="10"/>
      <color indexed="10"/>
      <name val="Arial"/>
      <family val="2"/>
    </font>
    <font>
      <vertAlign val="subscript"/>
      <sz val="10"/>
      <name val="Arial"/>
      <family val="2"/>
    </font>
    <font>
      <sz val="10"/>
      <color indexed="39"/>
      <name val="Arial"/>
      <family val="2"/>
    </font>
    <font>
      <sz val="10"/>
      <color indexed="9"/>
      <name val="Arial"/>
      <family val="2"/>
    </font>
    <font>
      <sz val="10"/>
      <color indexed="9"/>
      <name val="Arial"/>
      <family val="2"/>
    </font>
    <font>
      <vertAlign val="subscript"/>
      <sz val="10"/>
      <color indexed="12"/>
      <name val="Arial"/>
      <family val="2"/>
    </font>
    <font>
      <b/>
      <sz val="8"/>
      <name val="Arial"/>
      <family val="2"/>
    </font>
    <font>
      <vertAlign val="subscript"/>
      <sz val="8"/>
      <name val="Arial"/>
      <family val="2"/>
    </font>
    <font>
      <b/>
      <vertAlign val="subscript"/>
      <sz val="8"/>
      <name val="Arial"/>
      <family val="2"/>
    </font>
    <font>
      <sz val="10"/>
      <color rgb="FF000000"/>
      <name val="Arial"/>
      <family val="2"/>
    </font>
    <font>
      <sz val="14"/>
      <color rgb="FFFF6600"/>
      <name val="Arial"/>
      <family val="2"/>
    </font>
    <font>
      <sz val="14"/>
      <color theme="1" tint="0.34998626667073579"/>
      <name val="Arial"/>
      <family val="2"/>
    </font>
    <font>
      <sz val="10"/>
      <color theme="1" tint="0.34998626667073579"/>
      <name val="Arial"/>
      <family val="2"/>
    </font>
    <font>
      <sz val="10"/>
      <color theme="1"/>
      <name val="Arial"/>
      <family val="2"/>
    </font>
    <font>
      <sz val="8"/>
      <color theme="1" tint="0.34998626667073579"/>
      <name val="Arial"/>
      <family val="2"/>
    </font>
  </fonts>
  <fills count="8">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9"/>
        <bgColor indexed="64"/>
      </patternFill>
    </fill>
    <fill>
      <patternFill patternType="gray125">
        <bgColor indexed="9"/>
      </patternFill>
    </fill>
    <fill>
      <patternFill patternType="solid">
        <fgColor rgb="FFFFC000"/>
        <bgColor indexed="64"/>
      </patternFill>
    </fill>
    <fill>
      <patternFill patternType="solid">
        <fgColor theme="0" tint="-0.49998474074526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hair">
        <color indexed="10"/>
      </left>
      <right style="hair">
        <color indexed="10"/>
      </right>
      <top style="hair">
        <color indexed="10"/>
      </top>
      <bottom style="hair">
        <color indexed="10"/>
      </bottom>
      <diagonal/>
    </border>
    <border>
      <left/>
      <right/>
      <top style="thin">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bottom style="medium">
        <color theme="0" tint="-0.24994659260841701"/>
      </bottom>
      <diagonal/>
    </border>
    <border>
      <left/>
      <right/>
      <top style="medium">
        <color theme="0" tint="-0.24994659260841701"/>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22">
    <xf numFmtId="0" fontId="0" fillId="0" borderId="0" xfId="0"/>
    <xf numFmtId="0" fontId="3" fillId="0" borderId="0" xfId="0" applyFont="1"/>
    <xf numFmtId="0" fontId="5" fillId="0" borderId="0" xfId="0" applyFont="1"/>
    <xf numFmtId="0" fontId="0" fillId="0" borderId="0" xfId="0" applyAlignment="1">
      <alignment horizontal="center"/>
    </xf>
    <xf numFmtId="0" fontId="6" fillId="0" borderId="0" xfId="0" applyFont="1"/>
    <xf numFmtId="0" fontId="2" fillId="0" borderId="0" xfId="0" applyFont="1"/>
    <xf numFmtId="0" fontId="0" fillId="0" borderId="0" xfId="0" applyFill="1"/>
    <xf numFmtId="0" fontId="0" fillId="2" borderId="1" xfId="0" applyFill="1" applyBorder="1"/>
    <xf numFmtId="0" fontId="0" fillId="2" borderId="2" xfId="0" applyFill="1" applyBorder="1"/>
    <xf numFmtId="0" fontId="0" fillId="2" borderId="3" xfId="0" applyFill="1" applyBorder="1"/>
    <xf numFmtId="0" fontId="6" fillId="2" borderId="4" xfId="0" applyFont="1" applyFill="1" applyBorder="1"/>
    <xf numFmtId="0" fontId="7" fillId="2" borderId="0" xfId="0" applyFont="1" applyFill="1" applyBorder="1"/>
    <xf numFmtId="0" fontId="6" fillId="2" borderId="0" xfId="0" applyFont="1" applyFill="1" applyBorder="1"/>
    <xf numFmtId="0" fontId="6" fillId="2" borderId="5" xfId="0" applyFont="1" applyFill="1" applyBorder="1"/>
    <xf numFmtId="0" fontId="0" fillId="2" borderId="4" xfId="0" applyFill="1" applyBorder="1"/>
    <xf numFmtId="0" fontId="0" fillId="2" borderId="0" xfId="0" applyFill="1" applyBorder="1"/>
    <xf numFmtId="0" fontId="0" fillId="2" borderId="5" xfId="0" applyFill="1" applyBorder="1"/>
    <xf numFmtId="0" fontId="7" fillId="2" borderId="4" xfId="0" applyFont="1" applyFill="1" applyBorder="1" applyAlignment="1">
      <alignment horizontal="centerContinuous"/>
    </xf>
    <xf numFmtId="0" fontId="6" fillId="2" borderId="0" xfId="0" applyFont="1" applyFill="1" applyBorder="1" applyAlignment="1">
      <alignment horizontal="centerContinuous"/>
    </xf>
    <xf numFmtId="0" fontId="6" fillId="2" borderId="5" xfId="0" applyFont="1" applyFill="1" applyBorder="1" applyAlignment="1">
      <alignment horizontal="centerContinuous"/>
    </xf>
    <xf numFmtId="0" fontId="8" fillId="2" borderId="4" xfId="0" applyFont="1" applyFill="1" applyBorder="1" applyAlignment="1">
      <alignment horizontal="centerContinuous"/>
    </xf>
    <xf numFmtId="0" fontId="0" fillId="2" borderId="0" xfId="0" applyFill="1" applyBorder="1" applyAlignment="1">
      <alignment horizontal="centerContinuous"/>
    </xf>
    <xf numFmtId="0" fontId="0" fillId="2" borderId="5" xfId="0" applyFill="1" applyBorder="1" applyAlignment="1">
      <alignment horizontal="centerContinuous"/>
    </xf>
    <xf numFmtId="0" fontId="0" fillId="2" borderId="4" xfId="0" applyFill="1" applyBorder="1" applyAlignment="1">
      <alignment horizontal="centerContinuous"/>
    </xf>
    <xf numFmtId="0" fontId="9" fillId="2" borderId="4" xfId="0" applyFont="1" applyFill="1" applyBorder="1" applyAlignment="1">
      <alignment horizontal="centerContinuous"/>
    </xf>
    <xf numFmtId="0" fontId="2" fillId="2" borderId="0" xfId="0" applyFont="1" applyFill="1" applyBorder="1" applyAlignment="1">
      <alignment horizontal="centerContinuous"/>
    </xf>
    <xf numFmtId="0" fontId="2" fillId="2" borderId="5" xfId="0" applyFont="1" applyFill="1" applyBorder="1" applyAlignment="1">
      <alignment horizontal="centerContinuous"/>
    </xf>
    <xf numFmtId="0" fontId="0" fillId="2" borderId="6" xfId="0" applyFill="1" applyBorder="1"/>
    <xf numFmtId="0" fontId="0" fillId="2" borderId="7" xfId="0" applyFill="1" applyBorder="1"/>
    <xf numFmtId="0" fontId="0" fillId="2" borderId="8" xfId="0" applyFill="1" applyBorder="1"/>
    <xf numFmtId="0" fontId="7" fillId="2" borderId="4" xfId="0" applyFont="1" applyFill="1" applyBorder="1" applyAlignment="1">
      <alignment horizontal="centerContinuous" wrapText="1"/>
    </xf>
    <xf numFmtId="0" fontId="10" fillId="0" borderId="0" xfId="0" applyFont="1"/>
    <xf numFmtId="0" fontId="0" fillId="0" borderId="0" xfId="0" applyAlignment="1">
      <alignment vertical="center"/>
    </xf>
    <xf numFmtId="0" fontId="13" fillId="0" borderId="9" xfId="0" applyFont="1" applyBorder="1" applyAlignment="1">
      <alignment horizontal="centerContinuous" vertical="center"/>
    </xf>
    <xf numFmtId="0" fontId="0" fillId="0" borderId="10" xfId="0" applyBorder="1" applyAlignment="1">
      <alignment horizontal="centerContinuous" vertical="center"/>
    </xf>
    <xf numFmtId="0" fontId="0" fillId="0" borderId="11" xfId="0" applyBorder="1" applyAlignment="1">
      <alignment horizontal="centerContinuous" vertical="center"/>
    </xf>
    <xf numFmtId="0" fontId="0" fillId="3" borderId="1" xfId="0" applyFill="1" applyBorder="1" applyAlignment="1">
      <alignment vertical="center"/>
    </xf>
    <xf numFmtId="0" fontId="0" fillId="3" borderId="12" xfId="0" applyFill="1" applyBorder="1" applyAlignment="1">
      <alignment vertical="center"/>
    </xf>
    <xf numFmtId="0" fontId="0" fillId="4" borderId="2" xfId="0" applyFill="1" applyBorder="1" applyAlignment="1">
      <alignment vertical="center"/>
    </xf>
    <xf numFmtId="0" fontId="0" fillId="3" borderId="13" xfId="0" applyFill="1" applyBorder="1" applyAlignment="1">
      <alignment vertical="center"/>
    </xf>
    <xf numFmtId="0" fontId="0" fillId="3" borderId="3" xfId="0" applyFill="1" applyBorder="1" applyAlignment="1">
      <alignment vertical="center"/>
    </xf>
    <xf numFmtId="0" fontId="14" fillId="3" borderId="4" xfId="0" applyFont="1" applyFill="1" applyBorder="1" applyAlignment="1">
      <alignment vertical="center"/>
    </xf>
    <xf numFmtId="0" fontId="0" fillId="3" borderId="14" xfId="0" applyFill="1" applyBorder="1" applyAlignment="1">
      <alignment vertical="center"/>
    </xf>
    <xf numFmtId="0" fontId="0" fillId="4" borderId="0" xfId="0" applyFill="1" applyBorder="1" applyAlignment="1">
      <alignment vertical="center"/>
    </xf>
    <xf numFmtId="0" fontId="3" fillId="3" borderId="15" xfId="0" applyFont="1" applyFill="1" applyBorder="1" applyAlignment="1">
      <alignment vertical="center"/>
    </xf>
    <xf numFmtId="0" fontId="0" fillId="3" borderId="5" xfId="0" applyFill="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3" fillId="0" borderId="20" xfId="0" applyFont="1" applyBorder="1" applyAlignment="1">
      <alignment vertical="center"/>
    </xf>
    <xf numFmtId="0" fontId="11" fillId="0" borderId="14" xfId="0" applyFont="1" applyBorder="1" applyAlignment="1">
      <alignment vertical="center"/>
    </xf>
    <xf numFmtId="0" fontId="3" fillId="0" borderId="21" xfId="0" applyFont="1" applyBorder="1" applyAlignment="1">
      <alignment vertical="center"/>
    </xf>
    <xf numFmtId="0" fontId="11" fillId="0" borderId="5"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11" fillId="0" borderId="17" xfId="0" applyFont="1" applyBorder="1" applyAlignment="1">
      <alignment vertical="center"/>
    </xf>
    <xf numFmtId="0" fontId="0" fillId="3" borderId="4" xfId="0" applyFill="1" applyBorder="1" applyAlignment="1">
      <alignment vertical="center"/>
    </xf>
    <xf numFmtId="0" fontId="11" fillId="4" borderId="14" xfId="0" quotePrefix="1" applyFont="1" applyFill="1" applyBorder="1" applyAlignment="1">
      <alignment vertical="center"/>
    </xf>
    <xf numFmtId="0" fontId="0" fillId="0" borderId="22" xfId="0" applyBorder="1" applyAlignment="1">
      <alignment vertical="center"/>
    </xf>
    <xf numFmtId="0" fontId="3" fillId="0" borderId="25" xfId="0" applyFont="1" applyBorder="1" applyAlignment="1">
      <alignment vertical="center"/>
    </xf>
    <xf numFmtId="0" fontId="11" fillId="0" borderId="19" xfId="0" applyFont="1" applyBorder="1" applyAlignment="1">
      <alignment vertical="center"/>
    </xf>
    <xf numFmtId="0" fontId="0" fillId="3" borderId="15" xfId="0" applyFill="1" applyBorder="1" applyAlignment="1">
      <alignment vertical="center"/>
    </xf>
    <xf numFmtId="0" fontId="0" fillId="0" borderId="24" xfId="0" applyBorder="1" applyAlignment="1">
      <alignment vertical="center"/>
    </xf>
    <xf numFmtId="0" fontId="11" fillId="4" borderId="17" xfId="0" applyFont="1" applyFill="1" applyBorder="1" applyAlignment="1">
      <alignment vertical="center"/>
    </xf>
    <xf numFmtId="0" fontId="14" fillId="3" borderId="15" xfId="0" applyFont="1" applyFill="1" applyBorder="1" applyAlignment="1">
      <alignment vertical="center"/>
    </xf>
    <xf numFmtId="0" fontId="11" fillId="4" borderId="15" xfId="0" applyFont="1" applyFill="1" applyBorder="1" applyAlignment="1">
      <alignment vertical="center"/>
    </xf>
    <xf numFmtId="0" fontId="11" fillId="4" borderId="5" xfId="0" applyFont="1" applyFill="1" applyBorder="1" applyAlignment="1">
      <alignment vertical="center"/>
    </xf>
    <xf numFmtId="0" fontId="11" fillId="4" borderId="4" xfId="0" applyFont="1" applyFill="1" applyBorder="1" applyAlignment="1">
      <alignment vertical="center"/>
    </xf>
    <xf numFmtId="0" fontId="0" fillId="4" borderId="14" xfId="0" applyFill="1" applyBorder="1" applyAlignment="1">
      <alignment vertical="center"/>
    </xf>
    <xf numFmtId="0" fontId="11" fillId="4" borderId="6" xfId="0" applyFont="1" applyFill="1" applyBorder="1" applyAlignment="1">
      <alignment vertical="center"/>
    </xf>
    <xf numFmtId="0" fontId="0" fillId="4" borderId="26" xfId="0" applyFill="1" applyBorder="1" applyAlignment="1">
      <alignment vertical="center"/>
    </xf>
    <xf numFmtId="0" fontId="0" fillId="4" borderId="7" xfId="0" applyFill="1" applyBorder="1" applyAlignment="1">
      <alignment vertical="center"/>
    </xf>
    <xf numFmtId="0" fontId="11" fillId="4" borderId="27" xfId="0" applyFont="1" applyFill="1" applyBorder="1" applyAlignment="1">
      <alignment vertical="center"/>
    </xf>
    <xf numFmtId="0" fontId="11" fillId="4" borderId="8" xfId="0" applyFont="1" applyFill="1" applyBorder="1" applyAlignment="1">
      <alignment vertical="center"/>
    </xf>
    <xf numFmtId="0" fontId="16" fillId="0" borderId="0" xfId="0" applyFont="1"/>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9" fontId="0" fillId="0" borderId="0" xfId="0" applyNumberFormat="1" applyAlignment="1">
      <alignment horizontal="center"/>
    </xf>
    <xf numFmtId="167" fontId="0" fillId="0" borderId="0" xfId="0" applyNumberFormat="1"/>
    <xf numFmtId="165" fontId="0" fillId="0" borderId="0" xfId="0" applyNumberFormat="1"/>
    <xf numFmtId="9" fontId="0" fillId="0" borderId="0" xfId="0" applyNumberFormat="1"/>
    <xf numFmtId="9" fontId="0" fillId="0" borderId="0" xfId="2" applyFont="1"/>
    <xf numFmtId="0" fontId="3" fillId="0" borderId="0" xfId="0" applyFont="1" applyAlignment="1">
      <alignment horizontal="right"/>
    </xf>
    <xf numFmtId="164" fontId="0" fillId="0" borderId="0" xfId="2" applyNumberFormat="1" applyFont="1"/>
    <xf numFmtId="165" fontId="0" fillId="0" borderId="0" xfId="0" applyNumberFormat="1" applyAlignment="1">
      <alignment horizontal="center"/>
    </xf>
    <xf numFmtId="165" fontId="17" fillId="0" borderId="0" xfId="0" applyNumberFormat="1" applyFont="1" applyAlignment="1">
      <alignment horizontal="center"/>
    </xf>
    <xf numFmtId="0" fontId="0" fillId="0" borderId="3" xfId="0" applyBorder="1"/>
    <xf numFmtId="0" fontId="3" fillId="0" borderId="10" xfId="0" applyFont="1" applyBorder="1"/>
    <xf numFmtId="0" fontId="0" fillId="0" borderId="10" xfId="0" applyBorder="1"/>
    <xf numFmtId="165" fontId="2" fillId="0" borderId="10" xfId="0" applyNumberFormat="1" applyFont="1" applyBorder="1" applyAlignment="1">
      <alignment horizontal="center"/>
    </xf>
    <xf numFmtId="165" fontId="0" fillId="0" borderId="10" xfId="0" applyNumberFormat="1" applyBorder="1" applyAlignment="1">
      <alignment horizontal="center"/>
    </xf>
    <xf numFmtId="0" fontId="0" fillId="0" borderId="10" xfId="0" applyBorder="1" applyAlignment="1">
      <alignment horizontal="center"/>
    </xf>
    <xf numFmtId="0" fontId="18" fillId="0" borderId="0" xfId="0" applyFont="1"/>
    <xf numFmtId="0" fontId="19" fillId="0" borderId="0" xfId="0" applyFont="1"/>
    <xf numFmtId="0" fontId="20" fillId="0" borderId="0" xfId="0" applyFont="1"/>
    <xf numFmtId="9" fontId="3" fillId="0" borderId="0" xfId="0" applyNumberFormat="1" applyFont="1"/>
    <xf numFmtId="165" fontId="3" fillId="0" borderId="0" xfId="0" applyNumberFormat="1" applyFont="1"/>
    <xf numFmtId="0" fontId="22" fillId="0" borderId="0" xfId="0" applyFont="1"/>
    <xf numFmtId="1" fontId="0" fillId="0" borderId="0" xfId="0" applyNumberFormat="1" applyAlignment="1">
      <alignment horizontal="center"/>
    </xf>
    <xf numFmtId="0" fontId="0" fillId="0" borderId="0" xfId="0" applyBorder="1"/>
    <xf numFmtId="0" fontId="0" fillId="0" borderId="28" xfId="0" applyBorder="1" applyAlignment="1">
      <alignment horizontal="center"/>
    </xf>
    <xf numFmtId="0" fontId="0" fillId="0" borderId="22" xfId="0" applyBorder="1" applyAlignment="1">
      <alignment horizontal="center"/>
    </xf>
    <xf numFmtId="0" fontId="19" fillId="0" borderId="22" xfId="0" applyFont="1" applyBorder="1" applyAlignment="1">
      <alignment horizontal="center"/>
    </xf>
    <xf numFmtId="0" fontId="0" fillId="0" borderId="22" xfId="0" applyBorder="1"/>
    <xf numFmtId="0" fontId="11" fillId="0" borderId="22" xfId="0" applyFont="1"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19" fillId="0" borderId="23" xfId="0" applyFont="1" applyBorder="1" applyAlignment="1">
      <alignment horizontal="center"/>
    </xf>
    <xf numFmtId="0" fontId="0" fillId="0" borderId="23" xfId="0" applyBorder="1"/>
    <xf numFmtId="0" fontId="17" fillId="0" borderId="23" xfId="0" applyFont="1" applyBorder="1" applyAlignment="1">
      <alignment horizontal="center"/>
    </xf>
    <xf numFmtId="0" fontId="11" fillId="0" borderId="23"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19" fillId="0" borderId="0" xfId="0" applyFont="1" applyAlignment="1">
      <alignment horizontal="right"/>
    </xf>
    <xf numFmtId="0" fontId="21" fillId="0" borderId="0" xfId="0" applyFont="1" applyFill="1" applyAlignment="1">
      <alignment horizontal="right"/>
    </xf>
    <xf numFmtId="9" fontId="11" fillId="0" borderId="22" xfId="2" applyFont="1" applyBorder="1" applyAlignment="1">
      <alignment horizontal="center"/>
    </xf>
    <xf numFmtId="9" fontId="17" fillId="0" borderId="32" xfId="2" applyFont="1" applyBorder="1" applyAlignment="1">
      <alignment horizontal="center"/>
    </xf>
    <xf numFmtId="0" fontId="17" fillId="0" borderId="33" xfId="0" applyFont="1" applyBorder="1" applyAlignment="1">
      <alignment horizontal="center"/>
    </xf>
    <xf numFmtId="0" fontId="17" fillId="0" borderId="29" xfId="0" applyFont="1" applyBorder="1" applyAlignment="1">
      <alignment horizontal="center"/>
    </xf>
    <xf numFmtId="0" fontId="17" fillId="0" borderId="32" xfId="0" applyFont="1" applyBorder="1" applyAlignment="1">
      <alignment horizontal="center"/>
    </xf>
    <xf numFmtId="0" fontId="0" fillId="5" borderId="22" xfId="0" applyFill="1" applyBorder="1"/>
    <xf numFmtId="0" fontId="0" fillId="5" borderId="23" xfId="0" applyFill="1" applyBorder="1"/>
    <xf numFmtId="9" fontId="2" fillId="0" borderId="0" xfId="2"/>
    <xf numFmtId="164" fontId="2" fillId="0" borderId="0" xfId="2" applyNumberFormat="1"/>
    <xf numFmtId="0" fontId="0" fillId="0" borderId="0" xfId="0" applyNumberFormat="1"/>
    <xf numFmtId="1" fontId="0" fillId="0" borderId="0" xfId="0" applyNumberFormat="1"/>
    <xf numFmtId="0" fontId="3" fillId="0" borderId="22" xfId="0" applyFont="1" applyBorder="1" applyAlignment="1">
      <alignment horizontal="center" wrapText="1"/>
    </xf>
    <xf numFmtId="0" fontId="17" fillId="0" borderId="13" xfId="0" applyFont="1" applyBorder="1" applyAlignment="1">
      <alignment horizontal="center"/>
    </xf>
    <xf numFmtId="0" fontId="17" fillId="0" borderId="15" xfId="0" applyFont="1" applyBorder="1" applyAlignment="1">
      <alignment horizontal="center"/>
    </xf>
    <xf numFmtId="0" fontId="19" fillId="0" borderId="0" xfId="0" applyFont="1" applyFill="1" applyAlignment="1">
      <alignment horizontal="right"/>
    </xf>
    <xf numFmtId="0" fontId="3" fillId="0" borderId="34" xfId="0" applyFont="1" applyBorder="1" applyAlignment="1">
      <alignment horizontal="center"/>
    </xf>
    <xf numFmtId="0" fontId="0" fillId="0" borderId="33" xfId="0" applyBorder="1" applyAlignment="1">
      <alignment horizontal="center"/>
    </xf>
    <xf numFmtId="0" fontId="0" fillId="0" borderId="32" xfId="0" applyBorder="1" applyAlignment="1">
      <alignment horizontal="center"/>
    </xf>
    <xf numFmtId="0" fontId="19" fillId="0" borderId="32" xfId="0" applyFont="1" applyBorder="1" applyAlignment="1">
      <alignment horizontal="center"/>
    </xf>
    <xf numFmtId="1" fontId="19" fillId="0" borderId="32" xfId="0" applyNumberFormat="1" applyFont="1" applyBorder="1" applyAlignment="1">
      <alignment horizontal="center"/>
    </xf>
    <xf numFmtId="0" fontId="0" fillId="0" borderId="32" xfId="0" applyBorder="1" applyAlignment="1"/>
    <xf numFmtId="0" fontId="0" fillId="0" borderId="31" xfId="0" applyBorder="1" applyAlignment="1">
      <alignment horizontal="center"/>
    </xf>
    <xf numFmtId="0" fontId="0" fillId="5" borderId="33" xfId="0" applyFill="1" applyBorder="1"/>
    <xf numFmtId="0" fontId="0" fillId="5" borderId="35" xfId="0" applyFill="1" applyBorder="1"/>
    <xf numFmtId="0" fontId="3" fillId="0" borderId="36" xfId="0" applyFont="1" applyBorder="1" applyAlignment="1">
      <alignment horizontal="center" wrapText="1"/>
    </xf>
    <xf numFmtId="0" fontId="3" fillId="0" borderId="14" xfId="0" applyFont="1" applyBorder="1" applyAlignment="1">
      <alignment horizontal="center"/>
    </xf>
    <xf numFmtId="0" fontId="3" fillId="0" borderId="37" xfId="0" applyFont="1" applyBorder="1" applyAlignment="1">
      <alignment horizontal="center" wrapText="1"/>
    </xf>
    <xf numFmtId="0" fontId="3" fillId="0" borderId="15" xfId="0" applyFont="1" applyBorder="1" applyAlignment="1">
      <alignment horizontal="center"/>
    </xf>
    <xf numFmtId="0" fontId="0" fillId="0" borderId="0" xfId="0" applyProtection="1">
      <protection locked="0"/>
    </xf>
    <xf numFmtId="0" fontId="0" fillId="0" borderId="0" xfId="0" applyProtection="1"/>
    <xf numFmtId="0" fontId="0" fillId="0" borderId="0" xfId="0" applyBorder="1" applyAlignment="1">
      <alignment horizontal="center"/>
    </xf>
    <xf numFmtId="0" fontId="19" fillId="0" borderId="0" xfId="0" applyFont="1" applyBorder="1" applyAlignment="1">
      <alignment horizontal="center"/>
    </xf>
    <xf numFmtId="20" fontId="0" fillId="0" borderId="0" xfId="0" applyNumberFormat="1"/>
    <xf numFmtId="1" fontId="19" fillId="0" borderId="0" xfId="0" applyNumberFormat="1" applyFont="1" applyBorder="1" applyAlignment="1">
      <alignment horizontal="center"/>
    </xf>
    <xf numFmtId="165" fontId="19" fillId="0" borderId="0" xfId="0" applyNumberFormat="1" applyFont="1" applyBorder="1" applyAlignment="1">
      <alignment horizontal="center"/>
    </xf>
    <xf numFmtId="0" fontId="19" fillId="0" borderId="0" xfId="0" applyFont="1" applyBorder="1"/>
    <xf numFmtId="0" fontId="11" fillId="0" borderId="0" xfId="0" applyFont="1" applyBorder="1" applyAlignment="1">
      <alignment horizontal="center"/>
    </xf>
    <xf numFmtId="0" fontId="17" fillId="0" borderId="0" xfId="0" applyFont="1" applyBorder="1" applyAlignment="1">
      <alignment horizontal="center"/>
    </xf>
    <xf numFmtId="9" fontId="17" fillId="0" borderId="0" xfId="2" applyFont="1" applyBorder="1" applyAlignment="1">
      <alignment horizontal="center"/>
    </xf>
    <xf numFmtId="0" fontId="23" fillId="0" borderId="0" xfId="0" applyFont="1" applyBorder="1" applyAlignment="1">
      <alignment horizontal="center"/>
    </xf>
    <xf numFmtId="9" fontId="11" fillId="0" borderId="0" xfId="2" applyFont="1" applyBorder="1" applyAlignment="1">
      <alignment horizontal="center"/>
    </xf>
    <xf numFmtId="0" fontId="0" fillId="0" borderId="0" xfId="0" applyBorder="1" applyAlignment="1"/>
    <xf numFmtId="0" fontId="3" fillId="0" borderId="0" xfId="0" applyFont="1" applyBorder="1" applyAlignment="1">
      <alignment horizontal="center" wrapText="1"/>
    </xf>
    <xf numFmtId="0" fontId="0" fillId="0" borderId="0" xfId="0" applyFill="1" applyBorder="1"/>
    <xf numFmtId="0" fontId="0" fillId="5" borderId="32" xfId="0" applyFill="1" applyBorder="1" applyAlignment="1">
      <alignment horizontal="center"/>
    </xf>
    <xf numFmtId="0" fontId="3" fillId="0" borderId="36" xfId="0" applyFont="1" applyBorder="1" applyAlignment="1">
      <alignment horizontal="center"/>
    </xf>
    <xf numFmtId="0" fontId="17" fillId="5" borderId="33" xfId="0" applyFont="1" applyFill="1" applyBorder="1" applyAlignment="1">
      <alignment horizontal="center"/>
    </xf>
    <xf numFmtId="0" fontId="17" fillId="5" borderId="32" xfId="0" applyFont="1" applyFill="1" applyBorder="1" applyAlignment="1">
      <alignment horizontal="center"/>
    </xf>
    <xf numFmtId="0" fontId="0" fillId="5" borderId="32" xfId="0" applyFill="1" applyBorder="1"/>
    <xf numFmtId="0" fontId="0" fillId="5" borderId="36" xfId="0" applyFill="1" applyBorder="1"/>
    <xf numFmtId="0" fontId="0" fillId="0" borderId="0" xfId="0" applyFill="1" applyBorder="1" applyAlignment="1">
      <alignment horizontal="center"/>
    </xf>
    <xf numFmtId="0" fontId="5" fillId="0" borderId="0" xfId="0" applyFont="1" applyFill="1" applyBorder="1" applyAlignment="1">
      <alignment horizontal="right"/>
    </xf>
    <xf numFmtId="22" fontId="0" fillId="0" borderId="0" xfId="0" applyNumberFormat="1"/>
    <xf numFmtId="0" fontId="25" fillId="0" borderId="23" xfId="0" applyFont="1" applyBorder="1" applyAlignment="1">
      <alignment horizontal="center"/>
    </xf>
    <xf numFmtId="1" fontId="5" fillId="0" borderId="32" xfId="0" applyNumberFormat="1" applyFont="1" applyBorder="1" applyAlignment="1">
      <alignment horizontal="center"/>
    </xf>
    <xf numFmtId="165" fontId="5" fillId="0" borderId="32" xfId="0" applyNumberFormat="1" applyFont="1" applyBorder="1" applyAlignment="1">
      <alignment horizontal="center"/>
    </xf>
    <xf numFmtId="0" fontId="5" fillId="0" borderId="32" xfId="0" applyFont="1" applyBorder="1" applyAlignment="1">
      <alignment horizontal="center"/>
    </xf>
    <xf numFmtId="0" fontId="17" fillId="0" borderId="32" xfId="0" applyFont="1" applyBorder="1" applyAlignment="1"/>
    <xf numFmtId="0" fontId="17" fillId="0" borderId="23" xfId="0" applyFont="1" applyBorder="1"/>
    <xf numFmtId="0" fontId="26" fillId="0" borderId="0" xfId="0" applyFont="1"/>
    <xf numFmtId="0" fontId="25" fillId="0" borderId="23" xfId="0" applyNumberFormat="1" applyFont="1" applyBorder="1" applyAlignment="1">
      <alignment horizontal="center"/>
    </xf>
    <xf numFmtId="0" fontId="26" fillId="0" borderId="38" xfId="0" applyFont="1" applyBorder="1"/>
    <xf numFmtId="0" fontId="10" fillId="3" borderId="0" xfId="0" applyFont="1" applyFill="1"/>
    <xf numFmtId="0" fontId="0" fillId="3" borderId="0" xfId="0" applyFill="1"/>
    <xf numFmtId="0" fontId="0" fillId="4" borderId="0" xfId="0" applyFill="1"/>
    <xf numFmtId="0" fontId="10" fillId="4" borderId="0" xfId="0" applyFont="1" applyFill="1"/>
    <xf numFmtId="0" fontId="0" fillId="0" borderId="39" xfId="0" applyBorder="1"/>
    <xf numFmtId="0" fontId="10" fillId="0" borderId="39" xfId="0" applyFont="1" applyBorder="1"/>
    <xf numFmtId="0" fontId="24" fillId="0" borderId="39" xfId="0" applyFont="1" applyBorder="1"/>
    <xf numFmtId="0" fontId="0" fillId="0" borderId="2" xfId="0" applyBorder="1"/>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17" fillId="0" borderId="36" xfId="0" applyFont="1" applyBorder="1" applyAlignment="1" applyProtection="1">
      <alignment horizontal="center"/>
    </xf>
    <xf numFmtId="10" fontId="0" fillId="0" borderId="0" xfId="0" applyNumberFormat="1"/>
    <xf numFmtId="0" fontId="0" fillId="5" borderId="40" xfId="0" applyFill="1" applyBorder="1"/>
    <xf numFmtId="0" fontId="0" fillId="0" borderId="41" xfId="0" applyBorder="1"/>
    <xf numFmtId="0" fontId="24" fillId="0" borderId="41" xfId="0" applyFont="1" applyBorder="1"/>
    <xf numFmtId="0" fontId="17" fillId="0" borderId="36" xfId="0" applyFont="1" applyBorder="1" applyAlignment="1">
      <alignment horizontal="center"/>
    </xf>
    <xf numFmtId="0" fontId="0" fillId="0" borderId="37" xfId="0" applyBorder="1" applyAlignment="1">
      <alignment horizontal="center"/>
    </xf>
    <xf numFmtId="0" fontId="0" fillId="0" borderId="42" xfId="0" applyBorder="1"/>
    <xf numFmtId="0" fontId="24" fillId="0" borderId="42" xfId="0" applyFont="1" applyBorder="1"/>
    <xf numFmtId="164" fontId="0" fillId="0" borderId="0" xfId="0" applyNumberFormat="1"/>
    <xf numFmtId="0" fontId="17" fillId="0" borderId="37" xfId="0" applyFont="1" applyBorder="1" applyAlignment="1">
      <alignment horizontal="center"/>
    </xf>
    <xf numFmtId="2" fontId="11" fillId="0" borderId="22" xfId="0" applyNumberFormat="1" applyFont="1" applyBorder="1" applyAlignment="1">
      <alignment horizontal="center"/>
    </xf>
    <xf numFmtId="2" fontId="19" fillId="0" borderId="22" xfId="0" applyNumberFormat="1" applyFont="1" applyBorder="1" applyAlignment="1">
      <alignment horizontal="center"/>
    </xf>
    <xf numFmtId="0" fontId="30" fillId="0" borderId="22" xfId="0" applyFont="1" applyBorder="1" applyAlignment="1">
      <alignment horizontal="center"/>
    </xf>
    <xf numFmtId="2" fontId="19" fillId="0" borderId="22" xfId="0" applyNumberFormat="1" applyFont="1" applyBorder="1"/>
    <xf numFmtId="165" fontId="11" fillId="0" borderId="22" xfId="0" applyNumberFormat="1" applyFont="1" applyBorder="1" applyAlignment="1">
      <alignment horizontal="center"/>
    </xf>
    <xf numFmtId="2" fontId="0" fillId="0" borderId="22" xfId="0" applyNumberFormat="1" applyBorder="1"/>
    <xf numFmtId="2" fontId="0" fillId="0" borderId="22" xfId="0" applyNumberFormat="1" applyBorder="1" applyAlignment="1">
      <alignment horizontal="center"/>
    </xf>
    <xf numFmtId="0" fontId="17" fillId="5" borderId="5" xfId="0" applyFont="1" applyFill="1" applyBorder="1" applyAlignment="1">
      <alignment horizontal="center"/>
    </xf>
    <xf numFmtId="0" fontId="0" fillId="5" borderId="5" xfId="0" applyFill="1" applyBorder="1"/>
    <xf numFmtId="0" fontId="0" fillId="5" borderId="8" xfId="0" applyFill="1" applyBorder="1"/>
    <xf numFmtId="0" fontId="11" fillId="4" borderId="14" xfId="0" applyFont="1" applyFill="1" applyBorder="1" applyAlignment="1">
      <alignment vertical="center"/>
    </xf>
    <xf numFmtId="165" fontId="19" fillId="0" borderId="22" xfId="0" applyNumberFormat="1" applyFont="1" applyBorder="1" applyAlignment="1">
      <alignment horizontal="center"/>
    </xf>
    <xf numFmtId="165" fontId="19" fillId="0" borderId="22" xfId="0" applyNumberFormat="1" applyFont="1" applyBorder="1"/>
    <xf numFmtId="165" fontId="0" fillId="0" borderId="22" xfId="0" applyNumberFormat="1" applyBorder="1" applyAlignment="1">
      <alignment horizontal="center"/>
    </xf>
    <xf numFmtId="165" fontId="0" fillId="0" borderId="32" xfId="0" applyNumberFormat="1" applyBorder="1" applyAlignment="1">
      <alignment horizontal="center"/>
    </xf>
    <xf numFmtId="1" fontId="19" fillId="0" borderId="22" xfId="0" applyNumberFormat="1" applyFont="1" applyBorder="1" applyAlignment="1">
      <alignment horizontal="center"/>
    </xf>
    <xf numFmtId="1" fontId="17" fillId="0" borderId="23" xfId="0" applyNumberFormat="1" applyFont="1" applyBorder="1" applyAlignment="1">
      <alignment horizontal="center"/>
    </xf>
    <xf numFmtId="0" fontId="31" fillId="0" borderId="32" xfId="0" applyNumberFormat="1" applyFont="1" applyBorder="1" applyAlignment="1">
      <alignment horizontal="center"/>
    </xf>
    <xf numFmtId="0" fontId="32" fillId="0" borderId="32" xfId="0" applyFont="1" applyBorder="1" applyAlignment="1">
      <alignment horizontal="center"/>
    </xf>
    <xf numFmtId="0" fontId="31" fillId="0" borderId="32" xfId="0" applyFont="1" applyBorder="1" applyAlignment="1">
      <alignment horizontal="center"/>
    </xf>
    <xf numFmtId="9" fontId="0" fillId="0" borderId="32" xfId="2" applyFont="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166" fontId="0" fillId="0" borderId="0" xfId="0" applyNumberFormat="1"/>
    <xf numFmtId="2" fontId="0" fillId="0" borderId="32" xfId="0" applyNumberFormat="1" applyBorder="1" applyAlignment="1">
      <alignment horizontal="center"/>
    </xf>
    <xf numFmtId="0" fontId="0" fillId="0" borderId="0" xfId="0" applyAlignment="1">
      <alignment horizontal="right" vertical="center" wrapText="1"/>
    </xf>
    <xf numFmtId="0" fontId="31" fillId="0" borderId="23" xfId="0" applyFont="1" applyBorder="1" applyAlignment="1">
      <alignment horizontal="center"/>
    </xf>
    <xf numFmtId="0" fontId="31" fillId="0" borderId="0" xfId="0" applyFont="1"/>
    <xf numFmtId="0" fontId="31" fillId="0" borderId="0" xfId="0" applyFont="1" applyAlignment="1">
      <alignment horizontal="center"/>
    </xf>
    <xf numFmtId="165" fontId="31" fillId="0" borderId="0" xfId="0" applyNumberFormat="1" applyFont="1" applyAlignment="1">
      <alignment horizontal="center"/>
    </xf>
    <xf numFmtId="165" fontId="15" fillId="0" borderId="17" xfId="0" quotePrefix="1" applyNumberFormat="1" applyFont="1" applyBorder="1" applyAlignment="1">
      <alignment horizontal="left" vertical="center"/>
    </xf>
    <xf numFmtId="2" fontId="17" fillId="0" borderId="29" xfId="0" applyNumberFormat="1" applyFont="1" applyBorder="1" applyAlignment="1">
      <alignment horizontal="center"/>
    </xf>
    <xf numFmtId="2" fontId="17" fillId="0" borderId="23" xfId="0" applyNumberFormat="1" applyFont="1" applyBorder="1" applyAlignment="1">
      <alignment horizontal="center"/>
    </xf>
    <xf numFmtId="2" fontId="17" fillId="0" borderId="23" xfId="0" applyNumberFormat="1" applyFont="1" applyBorder="1" applyAlignment="1" applyProtection="1">
      <alignment horizontal="center"/>
    </xf>
    <xf numFmtId="2" fontId="17" fillId="0" borderId="22" xfId="0" applyNumberFormat="1" applyFont="1" applyBorder="1" applyAlignment="1" applyProtection="1">
      <alignment horizontal="center"/>
    </xf>
    <xf numFmtId="2" fontId="17" fillId="0" borderId="43" xfId="0" applyNumberFormat="1" applyFont="1" applyBorder="1" applyAlignment="1" applyProtection="1">
      <alignment horizontal="center"/>
    </xf>
    <xf numFmtId="2" fontId="17" fillId="0" borderId="37" xfId="0" applyNumberFormat="1" applyFont="1" applyBorder="1" applyAlignment="1" applyProtection="1">
      <alignment horizontal="center"/>
    </xf>
    <xf numFmtId="2" fontId="17" fillId="0" borderId="28" xfId="0" applyNumberFormat="1" applyFont="1" applyBorder="1" applyAlignment="1">
      <alignment horizontal="center"/>
    </xf>
    <xf numFmtId="2" fontId="17" fillId="0" borderId="22" xfId="0" applyNumberFormat="1" applyFont="1" applyBorder="1" applyAlignment="1">
      <alignment horizontal="center"/>
    </xf>
    <xf numFmtId="2" fontId="17" fillId="0" borderId="43" xfId="0" applyNumberFormat="1" applyFont="1" applyBorder="1" applyAlignment="1">
      <alignment horizontal="center"/>
    </xf>
    <xf numFmtId="165" fontId="19" fillId="0" borderId="22" xfId="0" applyNumberFormat="1" applyFont="1" applyFill="1" applyBorder="1" applyAlignment="1">
      <alignment horizontal="center"/>
    </xf>
    <xf numFmtId="0" fontId="19" fillId="0" borderId="23" xfId="0" applyFont="1" applyFill="1" applyBorder="1" applyAlignment="1">
      <alignment horizontal="center"/>
    </xf>
    <xf numFmtId="165" fontId="5" fillId="0" borderId="32" xfId="0" applyNumberFormat="1" applyFont="1" applyFill="1" applyBorder="1" applyAlignment="1">
      <alignment horizontal="center"/>
    </xf>
    <xf numFmtId="165" fontId="11" fillId="0" borderId="22" xfId="0" applyNumberFormat="1" applyFont="1" applyFill="1" applyBorder="1" applyAlignment="1">
      <alignment horizontal="center"/>
    </xf>
    <xf numFmtId="0" fontId="17" fillId="0" borderId="23" xfId="0" applyFont="1" applyFill="1" applyBorder="1" applyAlignment="1">
      <alignment horizontal="center"/>
    </xf>
    <xf numFmtId="165" fontId="0" fillId="0" borderId="32" xfId="0" applyNumberFormat="1" applyFill="1" applyBorder="1" applyAlignment="1">
      <alignment horizontal="center"/>
    </xf>
    <xf numFmtId="0" fontId="0" fillId="0" borderId="32" xfId="0" applyFill="1" applyBorder="1" applyAlignment="1">
      <alignment horizontal="center"/>
    </xf>
    <xf numFmtId="0" fontId="21" fillId="0" borderId="0" xfId="0" applyFont="1"/>
    <xf numFmtId="0" fontId="15" fillId="0" borderId="0" xfId="0" applyFont="1"/>
    <xf numFmtId="0" fontId="19" fillId="0" borderId="0" xfId="0" applyFont="1" applyAlignment="1"/>
    <xf numFmtId="0" fontId="20" fillId="0" borderId="0" xfId="0" applyFont="1" applyBorder="1"/>
    <xf numFmtId="0" fontId="19" fillId="0" borderId="5" xfId="0" applyFont="1" applyBorder="1"/>
    <xf numFmtId="0" fontId="20" fillId="0" borderId="7" xfId="0" applyFont="1" applyBorder="1"/>
    <xf numFmtId="0" fontId="19" fillId="0" borderId="8" xfId="0" applyFont="1" applyBorder="1"/>
    <xf numFmtId="0" fontId="19" fillId="0" borderId="1" xfId="0" applyFont="1" applyBorder="1"/>
    <xf numFmtId="0" fontId="19" fillId="0" borderId="3" xfId="0" applyFont="1" applyBorder="1"/>
    <xf numFmtId="0" fontId="19" fillId="0" borderId="4" xfId="0" applyFont="1" applyBorder="1"/>
    <xf numFmtId="0" fontId="19" fillId="0" borderId="6" xfId="0" applyFont="1" applyBorder="1"/>
    <xf numFmtId="0" fontId="11" fillId="0" borderId="1" xfId="0" applyFont="1" applyBorder="1"/>
    <xf numFmtId="0" fontId="11" fillId="0" borderId="3" xfId="0" applyFont="1" applyBorder="1"/>
    <xf numFmtId="0" fontId="11" fillId="0" borderId="4" xfId="0" applyFont="1" applyBorder="1"/>
    <xf numFmtId="0" fontId="11" fillId="0" borderId="5" xfId="0" applyFont="1" applyBorder="1"/>
    <xf numFmtId="0" fontId="11" fillId="0" borderId="6" xfId="0" applyFont="1" applyBorder="1"/>
    <xf numFmtId="0" fontId="11" fillId="0" borderId="8" xfId="0" applyFont="1" applyBorder="1"/>
    <xf numFmtId="0" fontId="17" fillId="0" borderId="14" xfId="0" applyFont="1" applyBorder="1" applyAlignment="1">
      <alignment horizontal="center"/>
    </xf>
    <xf numFmtId="164" fontId="0" fillId="0" borderId="32" xfId="2" applyNumberFormat="1" applyFont="1" applyBorder="1" applyAlignment="1">
      <alignment horizontal="center"/>
    </xf>
    <xf numFmtId="164" fontId="11" fillId="0" borderId="22" xfId="2" applyNumberFormat="1" applyFont="1" applyBorder="1" applyAlignment="1">
      <alignment horizontal="center"/>
    </xf>
    <xf numFmtId="1" fontId="0" fillId="0" borderId="32" xfId="0" applyNumberFormat="1" applyFill="1" applyBorder="1" applyAlignment="1">
      <alignment horizontal="center"/>
    </xf>
    <xf numFmtId="1" fontId="11" fillId="0" borderId="22" xfId="0" applyNumberFormat="1" applyFont="1" applyBorder="1" applyAlignment="1">
      <alignment horizontal="center"/>
    </xf>
    <xf numFmtId="1" fontId="0" fillId="0" borderId="0" xfId="0" applyNumberFormat="1" applyAlignment="1">
      <alignment horizontal="right" vertical="center" wrapText="1"/>
    </xf>
    <xf numFmtId="2" fontId="3" fillId="0" borderId="0" xfId="0" applyNumberFormat="1" applyFont="1"/>
    <xf numFmtId="0" fontId="4" fillId="0" borderId="0" xfId="0" applyFont="1"/>
    <xf numFmtId="0" fontId="34" fillId="0" borderId="0" xfId="0" applyFont="1" applyAlignment="1">
      <alignment horizontal="center"/>
    </xf>
    <xf numFmtId="1" fontId="4" fillId="0" borderId="0" xfId="0" applyNumberFormat="1" applyFont="1" applyAlignment="1">
      <alignment horizontal="center"/>
    </xf>
    <xf numFmtId="2" fontId="4" fillId="0" borderId="0" xfId="0" applyNumberFormat="1" applyFont="1" applyAlignment="1">
      <alignment horizontal="center"/>
    </xf>
    <xf numFmtId="0" fontId="4" fillId="0" borderId="0" xfId="0" applyFont="1" applyAlignment="1">
      <alignment horizontal="center"/>
    </xf>
    <xf numFmtId="168" fontId="4" fillId="0" borderId="0" xfId="1" applyNumberFormat="1" applyFont="1"/>
    <xf numFmtId="0" fontId="34" fillId="0" borderId="0" xfId="0" applyFont="1"/>
    <xf numFmtId="0" fontId="4" fillId="0" borderId="44" xfId="0" applyFont="1" applyBorder="1"/>
    <xf numFmtId="0" fontId="4" fillId="0" borderId="0" xfId="0" applyFont="1" applyBorder="1"/>
    <xf numFmtId="0" fontId="17" fillId="0" borderId="23" xfId="0" applyNumberFormat="1" applyFont="1" applyBorder="1" applyAlignment="1">
      <alignment horizontal="center"/>
    </xf>
    <xf numFmtId="164" fontId="11" fillId="6" borderId="22" xfId="2" applyNumberFormat="1" applyFont="1" applyFill="1" applyBorder="1" applyAlignment="1">
      <alignment horizontal="center"/>
    </xf>
    <xf numFmtId="1" fontId="19" fillId="0" borderId="22" xfId="0" applyNumberFormat="1" applyFont="1" applyFill="1" applyBorder="1" applyAlignment="1">
      <alignment horizontal="center"/>
    </xf>
    <xf numFmtId="0" fontId="28" fillId="4" borderId="45" xfId="0" applyFont="1" applyFill="1" applyBorder="1" applyAlignment="1">
      <alignment horizontal="center" vertical="center" textRotation="90" wrapText="1"/>
    </xf>
    <xf numFmtId="0" fontId="28" fillId="4" borderId="35" xfId="0" applyFont="1" applyFill="1" applyBorder="1" applyAlignment="1">
      <alignment horizontal="center" vertical="center" textRotation="90" wrapText="1"/>
    </xf>
    <xf numFmtId="0" fontId="28" fillId="4" borderId="40" xfId="0" applyFont="1" applyFill="1" applyBorder="1" applyAlignment="1">
      <alignment horizontal="center" vertical="center" textRotation="90" wrapText="1"/>
    </xf>
    <xf numFmtId="0" fontId="28" fillId="4" borderId="45" xfId="0" applyFont="1" applyFill="1" applyBorder="1" applyAlignment="1">
      <alignment vertical="center" wrapText="1"/>
    </xf>
    <xf numFmtId="0" fontId="28" fillId="4" borderId="35" xfId="0" applyFont="1" applyFill="1" applyBorder="1" applyAlignment="1">
      <alignment vertical="center" wrapText="1"/>
    </xf>
    <xf numFmtId="0" fontId="28" fillId="4" borderId="40" xfId="0" applyFont="1" applyFill="1" applyBorder="1" applyAlignment="1">
      <alignment vertical="center" wrapText="1"/>
    </xf>
    <xf numFmtId="0" fontId="26" fillId="4" borderId="35" xfId="0" applyFont="1" applyFill="1" applyBorder="1" applyAlignment="1">
      <alignment horizontal="center" vertical="center" textRotation="90" wrapText="1"/>
    </xf>
    <xf numFmtId="0" fontId="3" fillId="0" borderId="0" xfId="0" applyFont="1" applyBorder="1" applyAlignment="1">
      <alignment horizontal="center"/>
    </xf>
    <xf numFmtId="0" fontId="0" fillId="0" borderId="0" xfId="0" applyBorder="1" applyAlignment="1">
      <alignment horizontal="center"/>
    </xf>
    <xf numFmtId="0" fontId="3" fillId="0" borderId="15" xfId="0" applyFont="1" applyBorder="1" applyAlignment="1">
      <alignment horizontal="center"/>
    </xf>
    <xf numFmtId="0" fontId="0" fillId="0" borderId="5" xfId="0" applyBorder="1" applyAlignment="1">
      <alignment horizontal="center"/>
    </xf>
    <xf numFmtId="0" fontId="12" fillId="2" borderId="0" xfId="0" applyFont="1" applyFill="1" applyBorder="1" applyAlignment="1">
      <alignment horizontal="left"/>
    </xf>
    <xf numFmtId="0" fontId="0" fillId="0" borderId="0" xfId="0" applyAlignment="1"/>
    <xf numFmtId="0" fontId="24" fillId="0" borderId="0" xfId="0" applyFont="1" applyAlignment="1">
      <alignment horizontal="center"/>
    </xf>
    <xf numFmtId="0" fontId="27" fillId="0" borderId="0" xfId="0" applyFont="1" applyAlignment="1">
      <alignment horizontal="center"/>
    </xf>
    <xf numFmtId="0" fontId="3" fillId="0" borderId="4" xfId="0" applyFont="1" applyBorder="1" applyAlignment="1">
      <alignment horizontal="center"/>
    </xf>
    <xf numFmtId="0" fontId="0" fillId="0" borderId="14"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1" fillId="0" borderId="0" xfId="3" applyFill="1"/>
    <xf numFmtId="0" fontId="1" fillId="0" borderId="46" xfId="3" applyFill="1" applyBorder="1"/>
    <xf numFmtId="0" fontId="1" fillId="7" borderId="0" xfId="3" applyFill="1"/>
    <xf numFmtId="0" fontId="1" fillId="0" borderId="0" xfId="3" applyFill="1" applyBorder="1"/>
    <xf numFmtId="0" fontId="1" fillId="0" borderId="47" xfId="3" applyFill="1" applyBorder="1"/>
    <xf numFmtId="0" fontId="38" fillId="0" borderId="0" xfId="3" applyFont="1" applyFill="1" applyAlignment="1"/>
    <xf numFmtId="0" fontId="1" fillId="0" borderId="0" xfId="3" applyFill="1" applyAlignment="1"/>
    <xf numFmtId="0" fontId="39" fillId="0" borderId="0" xfId="3" applyFont="1" applyFill="1" applyAlignment="1">
      <alignment horizontal="left" vertical="top" wrapText="1"/>
    </xf>
    <xf numFmtId="0" fontId="1" fillId="0" borderId="0" xfId="3" applyFill="1" applyAlignment="1">
      <alignment horizontal="left" vertical="top" wrapText="1"/>
    </xf>
    <xf numFmtId="0" fontId="38" fillId="0" borderId="0" xfId="3" applyFont="1" applyFill="1"/>
    <xf numFmtId="0" fontId="39" fillId="0" borderId="0" xfId="3" applyFont="1" applyFill="1"/>
    <xf numFmtId="0" fontId="1" fillId="0" borderId="46" xfId="3" applyFill="1" applyBorder="1" applyAlignment="1"/>
    <xf numFmtId="0" fontId="40" fillId="0" borderId="0" xfId="3" applyFont="1" applyFill="1" applyAlignment="1">
      <alignment vertical="top" wrapText="1"/>
    </xf>
    <xf numFmtId="0" fontId="41" fillId="0" borderId="0" xfId="3" applyFont="1" applyFill="1" applyAlignment="1"/>
    <xf numFmtId="0" fontId="1" fillId="0" borderId="0" xfId="3" applyFill="1" applyAlignment="1"/>
    <xf numFmtId="0" fontId="42" fillId="0" borderId="47" xfId="3" applyFont="1" applyFill="1" applyBorder="1"/>
    <xf numFmtId="0" fontId="42" fillId="0" borderId="0" xfId="3" applyFont="1" applyFill="1" applyAlignment="1">
      <alignment vertical="top" wrapText="1"/>
    </xf>
    <xf numFmtId="0" fontId="1" fillId="0" borderId="0" xfId="3" applyFill="1" applyAlignment="1">
      <alignment vertical="top"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11907</xdr:rowOff>
    </xdr:from>
    <xdr:to>
      <xdr:col>3</xdr:col>
      <xdr:colOff>616744</xdr:colOff>
      <xdr:row>7</xdr:row>
      <xdr:rowOff>183356</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02407"/>
          <a:ext cx="1254919" cy="1257299"/>
        </a:xfrm>
        <a:prstGeom prst="rect">
          <a:avLst/>
        </a:prstGeom>
      </xdr:spPr>
    </xdr:pic>
    <xdr:clientData/>
  </xdr:twoCellAnchor>
  <xdr:twoCellAnchor editAs="oneCell">
    <xdr:from>
      <xdr:col>6</xdr:col>
      <xdr:colOff>251221</xdr:colOff>
      <xdr:row>1</xdr:row>
      <xdr:rowOff>89295</xdr:rowOff>
    </xdr:from>
    <xdr:to>
      <xdr:col>7</xdr:col>
      <xdr:colOff>885824</xdr:colOff>
      <xdr:row>7</xdr:row>
      <xdr:rowOff>94374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51821" y="279795"/>
          <a:ext cx="1520428" cy="1090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409575</xdr:colOff>
      <xdr:row>1</xdr:row>
      <xdr:rowOff>85725</xdr:rowOff>
    </xdr:from>
    <xdr:to>
      <xdr:col>18</xdr:col>
      <xdr:colOff>504825</xdr:colOff>
      <xdr:row>6</xdr:row>
      <xdr:rowOff>95250</xdr:rowOff>
    </xdr:to>
    <xdr:pic>
      <xdr:nvPicPr>
        <xdr:cNvPr id="1045" name="Picture 3" descr="Copy of ETI logo_300dpi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4550" y="257175"/>
          <a:ext cx="13144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161925</xdr:colOff>
      <xdr:row>2</xdr:row>
      <xdr:rowOff>38100</xdr:rowOff>
    </xdr:from>
    <xdr:to>
      <xdr:col>13</xdr:col>
      <xdr:colOff>238125</xdr:colOff>
      <xdr:row>4</xdr:row>
      <xdr:rowOff>19050</xdr:rowOff>
    </xdr:to>
    <xdr:pic>
      <xdr:nvPicPr>
        <xdr:cNvPr id="1046" name="Picture 2" descr="corpsigc3s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907" t="11594" r="3488"/>
        <a:stretch>
          <a:fillRect/>
        </a:stretch>
      </xdr:blipFill>
      <xdr:spPr bwMode="auto">
        <a:xfrm>
          <a:off x="4000500" y="371475"/>
          <a:ext cx="3733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295275</xdr:colOff>
          <xdr:row>1</xdr:row>
          <xdr:rowOff>0</xdr:rowOff>
        </xdr:from>
        <xdr:to>
          <xdr:col>9</xdr:col>
          <xdr:colOff>523875</xdr:colOff>
          <xdr:row>2</xdr:row>
          <xdr:rowOff>171450</xdr:rowOff>
        </xdr:to>
        <xdr:sp macro="" textlink="">
          <xdr:nvSpPr>
            <xdr:cNvPr id="2071" name="Button 23" hidden="1">
              <a:extLst>
                <a:ext uri="{63B3BB69-23CF-44E3-9099-C40C66FF867C}">
                  <a14:compatExt spid="_x0000_s20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Update Economic Model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b4778/LOCALS~1/Temp/notesDFE164/ETI%20Performance%20Cost%20and%20Economic%20Model%20Rev%200.20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B4778/LOCALS~1/Temp/notes63EBE1/ETI%20%20BP/Exercise%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ontents"/>
      <sheetName val="Input Data"/>
      <sheetName val="IGCC w CC"/>
      <sheetName val="IGCC wo CC"/>
      <sheetName val="Summary Results"/>
      <sheetName val="help"/>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ontents"/>
      <sheetName val="Input Data"/>
      <sheetName val="Calculations"/>
      <sheetName val="Audit Sheet"/>
      <sheetName val="P&amp;L ACCOUNT REPORT"/>
      <sheetName val="BALANCE SHEET REPORT"/>
      <sheetName val="CASH FLOW REPORT"/>
      <sheetName val="RATIO REPORT"/>
      <sheetName val="SENSITIVITY REPORT"/>
      <sheetName val="ASSUMPTIONS REPORT"/>
      <sheetName val="GRAPHS"/>
      <sheetName val="Name List"/>
    </sheetNames>
    <sheetDataSet>
      <sheetData sheetId="0">
        <row r="28">
          <cell r="B28" t="str">
            <v>The Waverley Route - PFI Suitability Assessment Financial Model</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3"/>
  <sheetViews>
    <sheetView showGridLines="0" tabSelected="1" zoomScaleNormal="100" zoomScaleSheetLayoutView="160" workbookViewId="0"/>
  </sheetViews>
  <sheetFormatPr defaultRowHeight="14.25" x14ac:dyDescent="0.2"/>
  <cols>
    <col min="1" max="1" width="5.28515625" style="306" customWidth="1"/>
    <col min="2" max="2" width="6.85546875" style="306" customWidth="1"/>
    <col min="3" max="3" width="2.85546875" style="306" customWidth="1"/>
    <col min="4" max="4" width="12.140625" style="306" customWidth="1"/>
    <col min="5" max="5" width="13.28515625" style="306" customWidth="1"/>
    <col min="6" max="6" width="31.5703125" style="306" customWidth="1"/>
    <col min="7" max="8" width="13.28515625" style="306" customWidth="1"/>
    <col min="9" max="9" width="5.28515625" style="306" customWidth="1"/>
    <col min="10" max="16384" width="9.140625" style="306"/>
  </cols>
  <sheetData>
    <row r="1" spans="1:9" ht="15" thickBot="1" x14ac:dyDescent="0.25">
      <c r="A1" s="304"/>
      <c r="B1" s="305"/>
      <c r="C1" s="305"/>
      <c r="D1" s="305"/>
      <c r="E1" s="305"/>
      <c r="F1" s="305"/>
      <c r="G1" s="305"/>
      <c r="H1" s="305"/>
      <c r="I1" s="304" t="s">
        <v>170</v>
      </c>
    </row>
    <row r="2" spans="1:9" x14ac:dyDescent="0.2">
      <c r="A2" s="304"/>
      <c r="B2" s="307"/>
      <c r="C2" s="307"/>
      <c r="D2" s="307"/>
      <c r="E2" s="307"/>
      <c r="F2" s="307"/>
      <c r="G2" s="307"/>
      <c r="H2" s="307"/>
      <c r="I2" s="304" t="s">
        <v>170</v>
      </c>
    </row>
    <row r="3" spans="1:9" x14ac:dyDescent="0.2">
      <c r="A3" s="304"/>
      <c r="B3" s="304"/>
      <c r="C3" s="304"/>
      <c r="D3" s="304"/>
      <c r="E3" s="304"/>
      <c r="F3" s="304"/>
      <c r="G3" s="304"/>
      <c r="H3" s="304"/>
      <c r="I3" s="304" t="s">
        <v>170</v>
      </c>
    </row>
    <row r="4" spans="1:9" x14ac:dyDescent="0.2">
      <c r="A4" s="304"/>
      <c r="B4" s="304"/>
      <c r="C4" s="304"/>
      <c r="D4" s="304"/>
      <c r="E4" s="304"/>
      <c r="F4" s="304"/>
      <c r="G4" s="304"/>
      <c r="H4" s="304"/>
      <c r="I4" s="304" t="s">
        <v>170</v>
      </c>
    </row>
    <row r="5" spans="1:9" x14ac:dyDescent="0.2">
      <c r="A5" s="304"/>
      <c r="B5" s="304"/>
      <c r="C5" s="304"/>
      <c r="D5" s="304"/>
      <c r="E5" s="304"/>
      <c r="F5" s="304"/>
      <c r="G5" s="304"/>
      <c r="H5" s="304"/>
      <c r="I5" s="304" t="s">
        <v>170</v>
      </c>
    </row>
    <row r="6" spans="1:9" x14ac:dyDescent="0.2">
      <c r="A6" s="304"/>
      <c r="B6" s="304"/>
      <c r="C6" s="304"/>
      <c r="D6" s="304"/>
      <c r="E6" s="304"/>
      <c r="F6" s="304"/>
      <c r="G6" s="304"/>
      <c r="H6" s="304"/>
      <c r="I6" s="304" t="s">
        <v>170</v>
      </c>
    </row>
    <row r="7" spans="1:9" x14ac:dyDescent="0.2">
      <c r="A7" s="304"/>
      <c r="B7" s="304"/>
      <c r="C7" s="304"/>
      <c r="D7" s="304"/>
      <c r="E7" s="304"/>
      <c r="F7" s="304"/>
      <c r="G7" s="304"/>
      <c r="H7" s="304"/>
      <c r="I7" s="304" t="s">
        <v>170</v>
      </c>
    </row>
    <row r="8" spans="1:9" ht="15" thickBot="1" x14ac:dyDescent="0.25">
      <c r="A8" s="304"/>
      <c r="B8" s="307"/>
      <c r="C8" s="307"/>
      <c r="D8" s="307"/>
      <c r="E8" s="307"/>
      <c r="F8" s="307"/>
      <c r="G8" s="307"/>
      <c r="H8" s="307"/>
      <c r="I8" s="304" t="s">
        <v>170</v>
      </c>
    </row>
    <row r="9" spans="1:9" ht="12" customHeight="1" x14ac:dyDescent="0.2">
      <c r="A9" s="304"/>
      <c r="B9" s="308"/>
      <c r="C9" s="308"/>
      <c r="D9" s="308"/>
      <c r="E9" s="308"/>
      <c r="F9" s="308"/>
      <c r="G9" s="308"/>
      <c r="H9" s="308"/>
      <c r="I9" s="304" t="s">
        <v>170</v>
      </c>
    </row>
    <row r="10" spans="1:9" ht="12" customHeight="1" x14ac:dyDescent="0.2">
      <c r="A10" s="304"/>
      <c r="B10" s="307"/>
      <c r="C10" s="307"/>
      <c r="D10" s="307"/>
      <c r="E10" s="307"/>
      <c r="F10" s="307"/>
      <c r="G10" s="307"/>
      <c r="H10" s="307"/>
      <c r="I10" s="304" t="s">
        <v>170</v>
      </c>
    </row>
    <row r="11" spans="1:9" ht="18" customHeight="1" x14ac:dyDescent="0.25">
      <c r="A11" s="304"/>
      <c r="B11" s="309" t="s">
        <v>240</v>
      </c>
      <c r="C11" s="310"/>
      <c r="D11" s="310"/>
      <c r="E11" s="311" t="s">
        <v>241</v>
      </c>
      <c r="F11" s="312"/>
      <c r="G11" s="312"/>
      <c r="H11" s="312"/>
      <c r="I11" s="304" t="s">
        <v>170</v>
      </c>
    </row>
    <row r="12" spans="1:9" ht="12" customHeight="1" x14ac:dyDescent="0.25">
      <c r="A12" s="304"/>
      <c r="B12" s="313"/>
      <c r="C12" s="304"/>
      <c r="D12" s="314"/>
      <c r="E12" s="304"/>
      <c r="F12" s="304"/>
      <c r="G12" s="304"/>
      <c r="H12" s="304"/>
      <c r="I12" s="304" t="s">
        <v>170</v>
      </c>
    </row>
    <row r="13" spans="1:9" ht="18" customHeight="1" x14ac:dyDescent="0.25">
      <c r="A13" s="304"/>
      <c r="B13" s="309" t="s">
        <v>242</v>
      </c>
      <c r="C13" s="310"/>
      <c r="D13" s="311" t="s">
        <v>243</v>
      </c>
      <c r="E13" s="312"/>
      <c r="F13" s="312"/>
      <c r="G13" s="312"/>
      <c r="H13" s="312"/>
      <c r="I13" s="304" t="s">
        <v>170</v>
      </c>
    </row>
    <row r="14" spans="1:9" ht="12" customHeight="1" x14ac:dyDescent="0.25">
      <c r="A14" s="304"/>
      <c r="B14" s="313"/>
      <c r="C14" s="314"/>
      <c r="D14" s="304"/>
      <c r="E14" s="304"/>
      <c r="F14" s="304"/>
      <c r="G14" s="304"/>
      <c r="H14" s="304"/>
      <c r="I14" s="304" t="s">
        <v>170</v>
      </c>
    </row>
    <row r="15" spans="1:9" ht="18" customHeight="1" x14ac:dyDescent="0.25">
      <c r="A15" s="304"/>
      <c r="B15" s="313" t="s">
        <v>244</v>
      </c>
      <c r="C15" s="311" t="s">
        <v>245</v>
      </c>
      <c r="D15" s="312"/>
      <c r="E15" s="312"/>
      <c r="F15" s="312"/>
      <c r="G15" s="312"/>
      <c r="H15" s="312"/>
      <c r="I15" s="304" t="s">
        <v>170</v>
      </c>
    </row>
    <row r="16" spans="1:9" ht="18" customHeight="1" x14ac:dyDescent="0.25">
      <c r="A16" s="304"/>
      <c r="B16" s="313"/>
      <c r="C16" s="312"/>
      <c r="D16" s="312"/>
      <c r="E16" s="312"/>
      <c r="F16" s="312"/>
      <c r="G16" s="312"/>
      <c r="H16" s="312"/>
      <c r="I16" s="304"/>
    </row>
    <row r="17" spans="1:9" ht="18" customHeight="1" thickBot="1" x14ac:dyDescent="0.25">
      <c r="A17" s="304"/>
      <c r="B17" s="305"/>
      <c r="C17" s="315"/>
      <c r="D17" s="315"/>
      <c r="E17" s="315"/>
      <c r="F17" s="315"/>
      <c r="G17" s="315"/>
      <c r="H17" s="315"/>
      <c r="I17" s="304" t="s">
        <v>170</v>
      </c>
    </row>
    <row r="18" spans="1:9" x14ac:dyDescent="0.2">
      <c r="A18" s="304"/>
      <c r="B18" s="304"/>
      <c r="C18" s="304"/>
      <c r="D18" s="304"/>
      <c r="E18" s="304"/>
      <c r="F18" s="304"/>
      <c r="G18" s="304"/>
      <c r="H18" s="304"/>
      <c r="I18" s="304" t="s">
        <v>170</v>
      </c>
    </row>
    <row r="19" spans="1:9" ht="18" x14ac:dyDescent="0.25">
      <c r="A19" s="304"/>
      <c r="B19" s="309" t="s">
        <v>246</v>
      </c>
      <c r="C19" s="310"/>
      <c r="D19" s="310"/>
      <c r="E19" s="304"/>
      <c r="F19" s="304"/>
      <c r="G19" s="304"/>
      <c r="H19" s="304"/>
      <c r="I19" s="304" t="s">
        <v>170</v>
      </c>
    </row>
    <row r="20" spans="1:9" x14ac:dyDescent="0.2">
      <c r="A20" s="304"/>
      <c r="B20" s="316" t="s">
        <v>247</v>
      </c>
      <c r="C20" s="316"/>
      <c r="D20" s="316"/>
      <c r="E20" s="316"/>
      <c r="F20" s="316"/>
      <c r="G20" s="316"/>
      <c r="H20" s="316"/>
      <c r="I20" s="304" t="s">
        <v>170</v>
      </c>
    </row>
    <row r="21" spans="1:9" x14ac:dyDescent="0.2">
      <c r="A21" s="304"/>
      <c r="B21" s="316"/>
      <c r="C21" s="316"/>
      <c r="D21" s="316"/>
      <c r="E21" s="316"/>
      <c r="F21" s="316"/>
      <c r="G21" s="316"/>
      <c r="H21" s="316"/>
      <c r="I21" s="304" t="s">
        <v>170</v>
      </c>
    </row>
    <row r="22" spans="1:9" x14ac:dyDescent="0.2">
      <c r="A22" s="304"/>
      <c r="B22" s="316"/>
      <c r="C22" s="316"/>
      <c r="D22" s="316"/>
      <c r="E22" s="316"/>
      <c r="F22" s="316"/>
      <c r="G22" s="316"/>
      <c r="H22" s="316"/>
      <c r="I22" s="304" t="s">
        <v>170</v>
      </c>
    </row>
    <row r="23" spans="1:9" x14ac:dyDescent="0.2">
      <c r="A23" s="304"/>
      <c r="B23" s="316"/>
      <c r="C23" s="316"/>
      <c r="D23" s="316"/>
      <c r="E23" s="316"/>
      <c r="F23" s="316"/>
      <c r="G23" s="316"/>
      <c r="H23" s="316"/>
      <c r="I23" s="304" t="s">
        <v>170</v>
      </c>
    </row>
    <row r="24" spans="1:9" x14ac:dyDescent="0.2">
      <c r="A24" s="304"/>
      <c r="B24" s="316"/>
      <c r="C24" s="316"/>
      <c r="D24" s="316"/>
      <c r="E24" s="316"/>
      <c r="F24" s="316"/>
      <c r="G24" s="316"/>
      <c r="H24" s="316"/>
      <c r="I24" s="304" t="s">
        <v>170</v>
      </c>
    </row>
    <row r="25" spans="1:9" x14ac:dyDescent="0.2">
      <c r="A25" s="304"/>
      <c r="B25" s="316"/>
      <c r="C25" s="316"/>
      <c r="D25" s="316"/>
      <c r="E25" s="316"/>
      <c r="F25" s="316"/>
      <c r="G25" s="316"/>
      <c r="H25" s="316"/>
      <c r="I25" s="304"/>
    </row>
    <row r="26" spans="1:9" x14ac:dyDescent="0.2">
      <c r="A26" s="304"/>
      <c r="B26" s="316"/>
      <c r="C26" s="316"/>
      <c r="D26" s="316"/>
      <c r="E26" s="316"/>
      <c r="F26" s="316"/>
      <c r="G26" s="316"/>
      <c r="H26" s="316"/>
      <c r="I26" s="304" t="s">
        <v>170</v>
      </c>
    </row>
    <row r="27" spans="1:9" x14ac:dyDescent="0.2">
      <c r="A27" s="304"/>
      <c r="B27" s="316"/>
      <c r="C27" s="316"/>
      <c r="D27" s="316"/>
      <c r="E27" s="316"/>
      <c r="F27" s="316"/>
      <c r="G27" s="316"/>
      <c r="H27" s="316"/>
      <c r="I27" s="304" t="s">
        <v>170</v>
      </c>
    </row>
    <row r="28" spans="1:9" x14ac:dyDescent="0.2">
      <c r="A28" s="304"/>
      <c r="B28" s="316"/>
      <c r="C28" s="316"/>
      <c r="D28" s="316"/>
      <c r="E28" s="316"/>
      <c r="F28" s="316"/>
      <c r="G28" s="316"/>
      <c r="H28" s="316"/>
      <c r="I28" s="304" t="s">
        <v>170</v>
      </c>
    </row>
    <row r="29" spans="1:9" x14ac:dyDescent="0.2">
      <c r="A29" s="304"/>
      <c r="B29" s="316"/>
      <c r="C29" s="316"/>
      <c r="D29" s="316"/>
      <c r="E29" s="316"/>
      <c r="F29" s="316"/>
      <c r="G29" s="316"/>
      <c r="H29" s="316"/>
      <c r="I29" s="304" t="s">
        <v>170</v>
      </c>
    </row>
    <row r="30" spans="1:9" x14ac:dyDescent="0.2">
      <c r="A30" s="304"/>
      <c r="B30" s="316"/>
      <c r="C30" s="316"/>
      <c r="D30" s="316"/>
      <c r="E30" s="316"/>
      <c r="F30" s="316"/>
      <c r="G30" s="316"/>
      <c r="H30" s="316"/>
      <c r="I30" s="304" t="s">
        <v>170</v>
      </c>
    </row>
    <row r="31" spans="1:9" x14ac:dyDescent="0.2">
      <c r="A31" s="304"/>
      <c r="B31" s="317"/>
      <c r="C31" s="317"/>
      <c r="D31" s="317"/>
      <c r="E31" s="317"/>
      <c r="F31" s="317"/>
      <c r="G31" s="317"/>
      <c r="H31" s="317"/>
      <c r="I31" s="304" t="s">
        <v>170</v>
      </c>
    </row>
    <row r="32" spans="1:9" ht="6.95" customHeight="1" x14ac:dyDescent="0.2">
      <c r="A32" s="304"/>
      <c r="B32" s="318"/>
      <c r="C32" s="318"/>
      <c r="D32" s="318"/>
      <c r="E32" s="318"/>
      <c r="F32" s="318"/>
      <c r="G32" s="318"/>
      <c r="H32" s="318"/>
      <c r="I32" s="304"/>
    </row>
    <row r="33" spans="1:9" ht="18" x14ac:dyDescent="0.25">
      <c r="A33" s="304"/>
      <c r="B33" s="309" t="s">
        <v>248</v>
      </c>
      <c r="C33" s="310"/>
      <c r="D33" s="310"/>
      <c r="E33" s="304"/>
      <c r="F33" s="304"/>
      <c r="G33" s="304"/>
      <c r="H33" s="304"/>
      <c r="I33" s="304" t="s">
        <v>170</v>
      </c>
    </row>
    <row r="34" spans="1:9" x14ac:dyDescent="0.2">
      <c r="A34" s="304"/>
      <c r="B34" s="316" t="s">
        <v>249</v>
      </c>
      <c r="C34" s="316"/>
      <c r="D34" s="316"/>
      <c r="E34" s="316"/>
      <c r="F34" s="316"/>
      <c r="G34" s="316"/>
      <c r="H34" s="316"/>
      <c r="I34" s="304" t="s">
        <v>170</v>
      </c>
    </row>
    <row r="35" spans="1:9" x14ac:dyDescent="0.2">
      <c r="A35" s="304"/>
      <c r="B35" s="316"/>
      <c r="C35" s="316"/>
      <c r="D35" s="316"/>
      <c r="E35" s="316"/>
      <c r="F35" s="316"/>
      <c r="G35" s="316"/>
      <c r="H35" s="316"/>
      <c r="I35" s="304" t="s">
        <v>170</v>
      </c>
    </row>
    <row r="36" spans="1:9" x14ac:dyDescent="0.2">
      <c r="A36" s="304"/>
      <c r="B36" s="316"/>
      <c r="C36" s="316"/>
      <c r="D36" s="316"/>
      <c r="E36" s="316"/>
      <c r="F36" s="316"/>
      <c r="G36" s="316"/>
      <c r="H36" s="316"/>
      <c r="I36" s="304" t="s">
        <v>170</v>
      </c>
    </row>
    <row r="37" spans="1:9" x14ac:dyDescent="0.2">
      <c r="A37" s="304"/>
      <c r="B37" s="316"/>
      <c r="C37" s="316"/>
      <c r="D37" s="316"/>
      <c r="E37" s="316"/>
      <c r="F37" s="316"/>
      <c r="G37" s="316"/>
      <c r="H37" s="316"/>
      <c r="I37" s="304" t="s">
        <v>170</v>
      </c>
    </row>
    <row r="38" spans="1:9" x14ac:dyDescent="0.2">
      <c r="A38" s="304"/>
      <c r="B38" s="316"/>
      <c r="C38" s="316"/>
      <c r="D38" s="316"/>
      <c r="E38" s="316"/>
      <c r="F38" s="316"/>
      <c r="G38" s="316"/>
      <c r="H38" s="316"/>
      <c r="I38" s="304" t="s">
        <v>170</v>
      </c>
    </row>
    <row r="39" spans="1:9" x14ac:dyDescent="0.2">
      <c r="A39" s="304"/>
      <c r="B39" s="316"/>
      <c r="C39" s="316"/>
      <c r="D39" s="316"/>
      <c r="E39" s="316"/>
      <c r="F39" s="316"/>
      <c r="G39" s="316"/>
      <c r="H39" s="316"/>
      <c r="I39" s="304" t="s">
        <v>170</v>
      </c>
    </row>
    <row r="40" spans="1:9" x14ac:dyDescent="0.2">
      <c r="A40" s="304"/>
      <c r="B40" s="316"/>
      <c r="C40" s="316"/>
      <c r="D40" s="316"/>
      <c r="E40" s="316"/>
      <c r="F40" s="316"/>
      <c r="G40" s="316"/>
      <c r="H40" s="316"/>
      <c r="I40" s="304" t="s">
        <v>170</v>
      </c>
    </row>
    <row r="41" spans="1:9" x14ac:dyDescent="0.2">
      <c r="A41" s="304"/>
      <c r="B41" s="316"/>
      <c r="C41" s="316"/>
      <c r="D41" s="316"/>
      <c r="E41" s="316"/>
      <c r="F41" s="316"/>
      <c r="G41" s="316"/>
      <c r="H41" s="316"/>
      <c r="I41" s="304" t="s">
        <v>170</v>
      </c>
    </row>
    <row r="42" spans="1:9" x14ac:dyDescent="0.2">
      <c r="A42" s="304"/>
      <c r="B42" s="316"/>
      <c r="C42" s="316"/>
      <c r="D42" s="316"/>
      <c r="E42" s="316"/>
      <c r="F42" s="316"/>
      <c r="G42" s="316"/>
      <c r="H42" s="316"/>
      <c r="I42" s="304" t="s">
        <v>170</v>
      </c>
    </row>
    <row r="43" spans="1:9" x14ac:dyDescent="0.2">
      <c r="A43" s="304"/>
      <c r="B43" s="316"/>
      <c r="C43" s="316"/>
      <c r="D43" s="316"/>
      <c r="E43" s="316"/>
      <c r="F43" s="316"/>
      <c r="G43" s="316"/>
      <c r="H43" s="316"/>
      <c r="I43" s="304" t="s">
        <v>170</v>
      </c>
    </row>
    <row r="44" spans="1:9" x14ac:dyDescent="0.2">
      <c r="A44" s="304"/>
      <c r="B44" s="317"/>
      <c r="C44" s="317"/>
      <c r="D44" s="317"/>
      <c r="E44" s="317"/>
      <c r="F44" s="317"/>
      <c r="G44" s="317"/>
      <c r="H44" s="317"/>
      <c r="I44" s="304" t="s">
        <v>170</v>
      </c>
    </row>
    <row r="45" spans="1:9" ht="9.9499999999999993" customHeight="1" thickBot="1" x14ac:dyDescent="0.25">
      <c r="A45" s="304"/>
      <c r="B45" s="304"/>
      <c r="C45" s="304"/>
      <c r="D45" s="304"/>
      <c r="E45" s="304"/>
      <c r="F45" s="304"/>
      <c r="G45" s="304"/>
      <c r="H45" s="304"/>
      <c r="I45" s="304" t="s">
        <v>170</v>
      </c>
    </row>
    <row r="46" spans="1:9" x14ac:dyDescent="0.2">
      <c r="A46" s="304"/>
      <c r="B46" s="319" t="s">
        <v>250</v>
      </c>
      <c r="C46" s="308"/>
      <c r="D46" s="308"/>
      <c r="E46" s="308"/>
      <c r="F46" s="308"/>
      <c r="G46" s="308"/>
      <c r="H46" s="308"/>
      <c r="I46" s="304" t="s">
        <v>170</v>
      </c>
    </row>
    <row r="47" spans="1:9" x14ac:dyDescent="0.2">
      <c r="A47" s="304"/>
      <c r="B47" s="320" t="s">
        <v>251</v>
      </c>
      <c r="C47" s="321"/>
      <c r="D47" s="321"/>
      <c r="E47" s="321"/>
      <c r="F47" s="321"/>
      <c r="G47" s="321"/>
      <c r="H47" s="321"/>
      <c r="I47" s="304" t="s">
        <v>170</v>
      </c>
    </row>
    <row r="48" spans="1:9" x14ac:dyDescent="0.2">
      <c r="A48" s="304"/>
      <c r="B48" s="321"/>
      <c r="C48" s="321"/>
      <c r="D48" s="321"/>
      <c r="E48" s="321"/>
      <c r="F48" s="321"/>
      <c r="G48" s="321"/>
      <c r="H48" s="321"/>
      <c r="I48" s="304" t="s">
        <v>170</v>
      </c>
    </row>
    <row r="49" spans="1:9" x14ac:dyDescent="0.2">
      <c r="A49" s="304"/>
      <c r="B49" s="321"/>
      <c r="C49" s="321"/>
      <c r="D49" s="321"/>
      <c r="E49" s="321"/>
      <c r="F49" s="321"/>
      <c r="G49" s="321"/>
      <c r="H49" s="321"/>
      <c r="I49" s="304" t="s">
        <v>170</v>
      </c>
    </row>
    <row r="50" spans="1:9" x14ac:dyDescent="0.2">
      <c r="A50" s="304"/>
      <c r="B50" s="321"/>
      <c r="C50" s="321"/>
      <c r="D50" s="321"/>
      <c r="E50" s="321"/>
      <c r="F50" s="321"/>
      <c r="G50" s="321"/>
      <c r="H50" s="321"/>
      <c r="I50" s="304" t="s">
        <v>170</v>
      </c>
    </row>
    <row r="51" spans="1:9" x14ac:dyDescent="0.2">
      <c r="A51" s="304"/>
      <c r="B51" s="321"/>
      <c r="C51" s="321"/>
      <c r="D51" s="321"/>
      <c r="E51" s="321"/>
      <c r="F51" s="321"/>
      <c r="G51" s="321"/>
      <c r="H51" s="321"/>
      <c r="I51" s="304" t="s">
        <v>170</v>
      </c>
    </row>
    <row r="52" spans="1:9" x14ac:dyDescent="0.2">
      <c r="A52" s="304"/>
      <c r="B52" s="321"/>
      <c r="C52" s="321"/>
      <c r="D52" s="321"/>
      <c r="E52" s="321"/>
      <c r="F52" s="321"/>
      <c r="G52" s="321"/>
      <c r="H52" s="321"/>
      <c r="I52" s="304" t="s">
        <v>170</v>
      </c>
    </row>
    <row r="53" spans="1:9" ht="14.25" customHeight="1" x14ac:dyDescent="0.2">
      <c r="A53" s="304"/>
      <c r="B53" s="321"/>
      <c r="C53" s="321"/>
      <c r="D53" s="321"/>
      <c r="E53" s="321"/>
      <c r="F53" s="321"/>
      <c r="G53" s="321"/>
      <c r="H53" s="321"/>
      <c r="I53" s="304" t="s">
        <v>170</v>
      </c>
    </row>
  </sheetData>
  <mergeCells count="10">
    <mergeCell ref="B20:H31"/>
    <mergeCell ref="B33:D33"/>
    <mergeCell ref="B34:H44"/>
    <mergeCell ref="B47:H53"/>
    <mergeCell ref="B11:D11"/>
    <mergeCell ref="E11:H11"/>
    <mergeCell ref="B13:C13"/>
    <mergeCell ref="D13:H13"/>
    <mergeCell ref="C15:H17"/>
    <mergeCell ref="B19:D19"/>
  </mergeCell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AN47"/>
  <sheetViews>
    <sheetView zoomScale="75" workbookViewId="0">
      <pane xSplit="5" ySplit="15" topLeftCell="F16" activePane="bottomRight" state="frozen"/>
      <selection activeCell="E60" sqref="E60"/>
      <selection pane="topRight" activeCell="E60" sqref="E60"/>
      <selection pane="bottomLeft" activeCell="E60" sqref="E60"/>
      <selection pane="bottomRight"/>
    </sheetView>
  </sheetViews>
  <sheetFormatPr defaultRowHeight="12.75" x14ac:dyDescent="0.2"/>
  <cols>
    <col min="5" max="5" width="9.42578125" customWidth="1"/>
    <col min="6" max="7" width="10.140625" bestFit="1" customWidth="1"/>
    <col min="8" max="8" width="10.85546875" customWidth="1"/>
    <col min="9" max="9" width="11.28515625" bestFit="1" customWidth="1"/>
    <col min="10" max="10" width="10.28515625" bestFit="1" customWidth="1"/>
    <col min="11" max="11" width="9.85546875" customWidth="1"/>
    <col min="12" max="16" width="10.140625" bestFit="1" customWidth="1"/>
    <col min="17" max="17" width="13.42578125" customWidth="1"/>
    <col min="18" max="20" width="10.140625" bestFit="1" customWidth="1"/>
    <col min="21" max="33" width="9.7109375" bestFit="1" customWidth="1"/>
  </cols>
  <sheetData>
    <row r="2" spans="2:21" x14ac:dyDescent="0.2">
      <c r="E2" s="127"/>
    </row>
    <row r="4" spans="2:21" x14ac:dyDescent="0.2">
      <c r="B4" s="1" t="s">
        <v>0</v>
      </c>
      <c r="G4" s="1" t="s">
        <v>6</v>
      </c>
      <c r="I4" s="1" t="s">
        <v>12</v>
      </c>
      <c r="K4" s="1" t="s">
        <v>13</v>
      </c>
      <c r="L4" s="1" t="s">
        <v>14</v>
      </c>
      <c r="P4" s="1" t="s">
        <v>16</v>
      </c>
    </row>
    <row r="5" spans="2:21" x14ac:dyDescent="0.2">
      <c r="B5" t="s">
        <v>165</v>
      </c>
      <c r="D5" t="s">
        <v>2</v>
      </c>
      <c r="E5" s="82">
        <f>'Input Data'!AI26</f>
        <v>256.79166666666669</v>
      </c>
      <c r="G5" t="s">
        <v>7</v>
      </c>
      <c r="I5">
        <f>'Input Data'!AI60</f>
        <v>1148.2000000000003</v>
      </c>
      <c r="K5" t="s">
        <v>76</v>
      </c>
      <c r="M5">
        <f>'Input Data'!AI71</f>
        <v>65</v>
      </c>
      <c r="N5" t="s">
        <v>26</v>
      </c>
      <c r="P5" t="s">
        <v>120</v>
      </c>
      <c r="R5" s="81">
        <v>8.731319419715447E-2</v>
      </c>
      <c r="S5" t="s">
        <v>136</v>
      </c>
    </row>
    <row r="6" spans="2:21" x14ac:dyDescent="0.2">
      <c r="B6" t="s">
        <v>166</v>
      </c>
      <c r="D6" t="s">
        <v>3</v>
      </c>
      <c r="E6" s="128">
        <f>'Input Data'!AI23</f>
        <v>626.70000000000005</v>
      </c>
      <c r="G6" t="s">
        <v>8</v>
      </c>
      <c r="I6" s="125">
        <f>'Input Data'!AI65</f>
        <v>0.05</v>
      </c>
      <c r="K6" t="s">
        <v>20</v>
      </c>
      <c r="M6">
        <f>'Input Data'!AI72</f>
        <v>40.1</v>
      </c>
      <c r="N6" t="s">
        <v>135</v>
      </c>
    </row>
    <row r="7" spans="2:21" ht="15.75" x14ac:dyDescent="0.3">
      <c r="G7" t="s">
        <v>9</v>
      </c>
      <c r="I7" s="125">
        <f>'Input Data'!AI66</f>
        <v>0.1</v>
      </c>
      <c r="K7" t="s">
        <v>199</v>
      </c>
      <c r="M7" s="227">
        <f>'Input Data'!AI77</f>
        <v>0</v>
      </c>
      <c r="N7" s="223" t="s">
        <v>26</v>
      </c>
    </row>
    <row r="8" spans="2:21" x14ac:dyDescent="0.2">
      <c r="E8" s="128"/>
      <c r="G8" t="s">
        <v>10</v>
      </c>
      <c r="I8" s="126">
        <f>'Input Data'!AI64</f>
        <v>0.25</v>
      </c>
      <c r="K8" s="1" t="s">
        <v>121</v>
      </c>
      <c r="N8" s="85" t="s">
        <v>126</v>
      </c>
      <c r="P8" s="1"/>
      <c r="Q8" s="1"/>
      <c r="R8" s="98"/>
      <c r="S8" s="1"/>
      <c r="T8" s="99"/>
      <c r="U8" s="1"/>
    </row>
    <row r="9" spans="2:21" x14ac:dyDescent="0.2">
      <c r="K9" t="s">
        <v>106</v>
      </c>
      <c r="N9">
        <f>'Input Data'!AI78</f>
        <v>115</v>
      </c>
      <c r="P9" t="s">
        <v>127</v>
      </c>
      <c r="R9" s="86">
        <f>'Input Data'!AI86</f>
        <v>0.1</v>
      </c>
    </row>
    <row r="10" spans="2:21" x14ac:dyDescent="0.2">
      <c r="B10" s="179" t="str">
        <f>IF('Input Data'!AI9&gt;0.001,"Performance Data: User Adjusted","")</f>
        <v/>
      </c>
      <c r="G10" t="s">
        <v>11</v>
      </c>
      <c r="I10" s="128">
        <f>I5+(I6*I5)+(I5*I7)+(I5*I8)</f>
        <v>1607.4800000000005</v>
      </c>
      <c r="K10" t="s">
        <v>107</v>
      </c>
      <c r="N10">
        <f>'Input Data'!AI79</f>
        <v>0.05</v>
      </c>
      <c r="P10" t="s">
        <v>24</v>
      </c>
      <c r="R10" s="83">
        <f>'Input Data'!AI81</f>
        <v>0.02</v>
      </c>
      <c r="S10" t="s">
        <v>125</v>
      </c>
    </row>
    <row r="11" spans="2:21" x14ac:dyDescent="0.2">
      <c r="K11" t="s">
        <v>122</v>
      </c>
      <c r="N11" s="83">
        <f>'Input Data'!AI80</f>
        <v>0.3</v>
      </c>
    </row>
    <row r="12" spans="2:21" x14ac:dyDescent="0.2">
      <c r="K12" s="1" t="s">
        <v>133</v>
      </c>
      <c r="N12" s="272">
        <f>(N9*N10)*(1+N11)</f>
        <v>7.4750000000000005</v>
      </c>
    </row>
    <row r="13" spans="2:21" x14ac:dyDescent="0.2">
      <c r="G13" s="179" t="str">
        <f>IF('Input Data'!AI47&gt;0.001,"Capital and Cost Data: User Adjusted","")</f>
        <v/>
      </c>
      <c r="P13" s="179" t="str">
        <f>IF('Input Data'!AI83&gt;0.001,"Revenue Data: User Adjusted","")</f>
        <v/>
      </c>
    </row>
    <row r="14" spans="2:21" x14ac:dyDescent="0.2">
      <c r="G14" s="177"/>
      <c r="K14" s="179" t="str">
        <f>IF('Input Data'!AI70&gt;0.001,"Operating Data: User Adjusted","")</f>
        <v/>
      </c>
    </row>
    <row r="15" spans="2:21" x14ac:dyDescent="0.2">
      <c r="G15" s="177"/>
    </row>
    <row r="16" spans="2:21" ht="13.5" thickBot="1" x14ac:dyDescent="0.25">
      <c r="G16" s="177"/>
    </row>
    <row r="17" spans="2:39"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Data'!AF102</f>
        <v>2012</v>
      </c>
      <c r="J18" s="78">
        <f>'Input Data'!AF103</f>
        <v>2013</v>
      </c>
      <c r="K18" s="78">
        <f>'Input Data'!AF104</f>
        <v>2014</v>
      </c>
      <c r="L18" s="78">
        <f>'Input Data'!AF105</f>
        <v>2015</v>
      </c>
      <c r="M18" s="78">
        <f>'Input Data'!AF106</f>
        <v>2016</v>
      </c>
      <c r="N18" s="78">
        <f>'Input Data'!AF107</f>
        <v>2017</v>
      </c>
      <c r="O18" s="78">
        <f>'Input Data'!AF108</f>
        <v>2018</v>
      </c>
      <c r="P18" s="78">
        <f>'Input Data'!AF109</f>
        <v>2019</v>
      </c>
      <c r="Q18" s="78">
        <f>'Input Data'!AF110</f>
        <v>2020</v>
      </c>
      <c r="R18" s="78">
        <f>'Input Data'!AF111</f>
        <v>2021</v>
      </c>
      <c r="S18" s="78">
        <f>'Input Data'!AF112</f>
        <v>2022</v>
      </c>
      <c r="T18" s="78">
        <f>'Input Data'!AF113</f>
        <v>2023</v>
      </c>
      <c r="U18" s="78">
        <f>'Input Data'!AF114</f>
        <v>2024</v>
      </c>
      <c r="V18" s="78">
        <f>'Input Data'!AF115</f>
        <v>2025</v>
      </c>
      <c r="W18" s="78">
        <f>'Input Data'!AF116</f>
        <v>2026</v>
      </c>
      <c r="X18" s="78">
        <f>'Input Data'!AF117</f>
        <v>2027</v>
      </c>
      <c r="Y18" s="78">
        <f>'Input Data'!AF118</f>
        <v>2028</v>
      </c>
      <c r="Z18" s="78">
        <f>'Input Data'!AF119</f>
        <v>2029</v>
      </c>
      <c r="AA18" s="78">
        <f>'Input Data'!AF120</f>
        <v>2030</v>
      </c>
      <c r="AB18" s="78">
        <f>'Input Data'!AF121</f>
        <v>2031</v>
      </c>
      <c r="AC18" s="78">
        <f>'Input Data'!AF122</f>
        <v>2032</v>
      </c>
      <c r="AD18" s="78">
        <f>'Input Data'!AF123</f>
        <v>2033</v>
      </c>
      <c r="AE18" s="78">
        <f>'Input Data'!AF124</f>
        <v>2034</v>
      </c>
      <c r="AF18" s="78">
        <f>'Input Data'!AF125</f>
        <v>2035</v>
      </c>
      <c r="AG18" s="78">
        <f>'Input Data'!AF126</f>
        <v>2036</v>
      </c>
      <c r="AH18" s="78">
        <f>'Input Data'!AF127</f>
        <v>2037</v>
      </c>
      <c r="AI18" s="78">
        <f>'Input Data'!AF128</f>
        <v>2038</v>
      </c>
      <c r="AJ18" s="78">
        <f>'Input Data'!AF129</f>
        <v>2039</v>
      </c>
      <c r="AK18" s="78">
        <f>'Input Data'!AF130</f>
        <v>2040</v>
      </c>
      <c r="AL18" s="78">
        <f>'Input Data'!AF131</f>
        <v>2041</v>
      </c>
      <c r="AM18" s="79">
        <f>'Input Data'!AF132</f>
        <v>2042</v>
      </c>
    </row>
    <row r="19" spans="2:39" ht="22.5" customHeight="1" thickBot="1" x14ac:dyDescent="0.25">
      <c r="B19" s="1" t="s">
        <v>12</v>
      </c>
      <c r="F19" s="190" t="s">
        <v>169</v>
      </c>
      <c r="G19" s="188" t="s">
        <v>168</v>
      </c>
      <c r="H19" s="188" t="s">
        <v>167</v>
      </c>
      <c r="I19" s="188" t="str">
        <f>'Input Data'!AE102</f>
        <v>Year 1</v>
      </c>
      <c r="J19" s="188" t="str">
        <f>'Input Data'!AE103</f>
        <v>Year 2</v>
      </c>
      <c r="K19" s="188" t="str">
        <f>'Input Data'!AE104</f>
        <v>Year 3</v>
      </c>
      <c r="L19" s="188" t="str">
        <f>'Input Data'!AE105</f>
        <v>Year 4</v>
      </c>
      <c r="M19" s="188" t="str">
        <f>'Input Data'!AE106</f>
        <v>Year 5</v>
      </c>
      <c r="N19" s="188" t="str">
        <f>'Input Data'!AE107</f>
        <v>Year 6</v>
      </c>
      <c r="O19" s="188" t="str">
        <f>'Input Data'!AE108</f>
        <v>Year 7</v>
      </c>
      <c r="P19" s="188" t="str">
        <f>'Input Data'!AE109</f>
        <v>Year 8</v>
      </c>
      <c r="Q19" s="188" t="str">
        <f>'Input Data'!AE110</f>
        <v>Year 9</v>
      </c>
      <c r="R19" s="188" t="str">
        <f>'Input Data'!AE111</f>
        <v>Year 10</v>
      </c>
      <c r="S19" s="188" t="str">
        <f>'Input Data'!AE112</f>
        <v>Year 11</v>
      </c>
      <c r="T19" s="188" t="str">
        <f>'Input Data'!AE113</f>
        <v>Year 12</v>
      </c>
      <c r="U19" s="188" t="str">
        <f>'Input Data'!AE114</f>
        <v>Year 13</v>
      </c>
      <c r="V19" s="188" t="str">
        <f>'Input Data'!AE115</f>
        <v>Year 14</v>
      </c>
      <c r="W19" s="188" t="str">
        <f>'Input Data'!AE116</f>
        <v>Year 15</v>
      </c>
      <c r="X19" s="188" t="str">
        <f>'Input Data'!AE117</f>
        <v>Year 16</v>
      </c>
      <c r="Y19" s="188" t="str">
        <f>'Input Data'!AE118</f>
        <v>Year 17</v>
      </c>
      <c r="Z19" s="188" t="str">
        <f>'Input Data'!AE119</f>
        <v>Year 18</v>
      </c>
      <c r="AA19" s="188" t="str">
        <f>'Input Data'!AE120</f>
        <v>Year 19</v>
      </c>
      <c r="AB19" s="188" t="str">
        <f>'Input Data'!AE121</f>
        <v>Year 20</v>
      </c>
      <c r="AC19" s="188" t="str">
        <f>'Input Data'!AE122</f>
        <v>Year 21</v>
      </c>
      <c r="AD19" s="188" t="str">
        <f>'Input Data'!AE123</f>
        <v>Year 22</v>
      </c>
      <c r="AE19" s="188" t="str">
        <f>'Input Data'!AE124</f>
        <v>Year 23</v>
      </c>
      <c r="AF19" s="188" t="str">
        <f>'Input Data'!AE125</f>
        <v>Year 24</v>
      </c>
      <c r="AG19" s="188" t="str">
        <f>'Input Data'!AE126</f>
        <v>Year 25</v>
      </c>
      <c r="AH19" s="188" t="str">
        <f>'Input Data'!AE127</f>
        <v>Year 26</v>
      </c>
      <c r="AI19" s="188" t="str">
        <f>'Input Data'!AE128</f>
        <v>Year 27</v>
      </c>
      <c r="AJ19" s="188" t="str">
        <f>'Input Data'!AE129</f>
        <v>Year 28</v>
      </c>
      <c r="AK19" s="188" t="str">
        <f>'Input Data'!AE130</f>
        <v>Year 29</v>
      </c>
      <c r="AL19" s="188" t="str">
        <f>'Input Data'!AE131</f>
        <v>Year 30</v>
      </c>
      <c r="AM19" s="189" t="str">
        <f>'Input Data'!AE132</f>
        <v>Year 31</v>
      </c>
    </row>
    <row r="21" spans="2:39" x14ac:dyDescent="0.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9" x14ac:dyDescent="0.2">
      <c r="B22" s="1" t="s">
        <v>159</v>
      </c>
      <c r="F22" s="80"/>
      <c r="G22" s="80"/>
      <c r="H22" s="80"/>
      <c r="I22" s="80">
        <f>'Input Data'!AG102</f>
        <v>1</v>
      </c>
      <c r="J22" s="80">
        <f>'Input Data'!AG103</f>
        <v>1</v>
      </c>
      <c r="K22" s="80">
        <f>'Input Data'!AG104</f>
        <v>1</v>
      </c>
      <c r="L22" s="80">
        <f>'Input Data'!AG105</f>
        <v>1</v>
      </c>
      <c r="M22" s="80">
        <f>'Input Data'!AG106</f>
        <v>1</v>
      </c>
      <c r="N22" s="80">
        <f>'Input Data'!AG107</f>
        <v>1</v>
      </c>
      <c r="O22" s="80">
        <f>'Input Data'!AG108</f>
        <v>1</v>
      </c>
      <c r="P22" s="80">
        <f>'Input Data'!AG109</f>
        <v>1</v>
      </c>
      <c r="Q22" s="80">
        <f>'Input Data'!AG110</f>
        <v>1</v>
      </c>
      <c r="R22" s="80">
        <f>'Input Data'!AG111</f>
        <v>1</v>
      </c>
      <c r="S22" s="80">
        <f>'Input Data'!AG112</f>
        <v>1</v>
      </c>
      <c r="T22" s="80">
        <f>'Input Data'!AG113</f>
        <v>1</v>
      </c>
      <c r="U22" s="80">
        <f>'Input Data'!AG114</f>
        <v>1</v>
      </c>
      <c r="V22" s="80">
        <f>'Input Data'!AG115</f>
        <v>1</v>
      </c>
      <c r="W22" s="80">
        <f>'Input Data'!AG116</f>
        <v>1</v>
      </c>
      <c r="X22" s="80">
        <f>'Input Data'!AG117</f>
        <v>1</v>
      </c>
      <c r="Y22" s="80">
        <f>'Input Data'!AG118</f>
        <v>1</v>
      </c>
      <c r="Z22" s="80">
        <f>'Input Data'!AG119</f>
        <v>1</v>
      </c>
      <c r="AA22" s="80">
        <f>'Input Data'!AG120</f>
        <v>1</v>
      </c>
      <c r="AB22" s="80">
        <f>'Input Data'!AG121</f>
        <v>1</v>
      </c>
      <c r="AC22" s="80">
        <f>IF('Input Data'!AI89&gt;20,'Input Data'!AG122,"")</f>
        <v>1</v>
      </c>
      <c r="AD22" s="80">
        <f>IF(AD19="Year 22",'Input Data'!AG123,"")</f>
        <v>1</v>
      </c>
      <c r="AE22" s="80">
        <f>IF(AE19="Year 23",'Input Data'!AG124,"")</f>
        <v>1</v>
      </c>
      <c r="AF22" s="80">
        <f>IF(AF19="Year 24",'Input Data'!AG125,"")</f>
        <v>1</v>
      </c>
      <c r="AG22" s="80">
        <f>IF(AG19="Year 25",'Input Data'!AG126,"")</f>
        <v>1</v>
      </c>
      <c r="AH22" s="80">
        <f>IF('Input Data'!AI89&gt;25,'Input Data'!AG127,"")</f>
        <v>1</v>
      </c>
      <c r="AI22" s="80">
        <f>IF(AI19="Year 27",'Input Data'!AG128,"")</f>
        <v>1</v>
      </c>
      <c r="AJ22" s="80">
        <f>IF(AJ19="Year 28",'Input Data'!AG129,"")</f>
        <v>1</v>
      </c>
      <c r="AK22" s="80">
        <f>IF(AK19="Year 29",'Input Data'!AG130,"")</f>
        <v>1</v>
      </c>
      <c r="AL22" s="80">
        <f>IF(AL19="Year 30",'Input Data'!AG131,"")</f>
        <v>1</v>
      </c>
      <c r="AM22" s="80" t="str">
        <f>IF('Input Data'!AI89&gt;30,'Input Data'!AG132,"")</f>
        <v/>
      </c>
    </row>
    <row r="23" spans="2:39" x14ac:dyDescent="0.2">
      <c r="B23" s="1" t="s">
        <v>160</v>
      </c>
      <c r="F23" s="80"/>
      <c r="G23" s="80"/>
      <c r="H23" s="80"/>
      <c r="I23" s="80">
        <f>'Input Data'!AH102</f>
        <v>0.65</v>
      </c>
      <c r="J23" s="80">
        <f>'Input Data'!AH103</f>
        <v>0.75</v>
      </c>
      <c r="K23" s="80">
        <f>'Input Data'!AH104</f>
        <v>0.85</v>
      </c>
      <c r="L23" s="80">
        <f>'Input Data'!AH105</f>
        <v>0.85</v>
      </c>
      <c r="M23" s="80">
        <f>'Input Data'!AH106</f>
        <v>0.85</v>
      </c>
      <c r="N23" s="80">
        <f>'Input Data'!AH107</f>
        <v>0.85</v>
      </c>
      <c r="O23" s="80">
        <f>'Input Data'!AH108</f>
        <v>0.85</v>
      </c>
      <c r="P23" s="80">
        <f>'Input Data'!AH109</f>
        <v>0.85</v>
      </c>
      <c r="Q23" s="80">
        <f>'Input Data'!AH110</f>
        <v>0.85</v>
      </c>
      <c r="R23" s="80">
        <f>'Input Data'!AH111</f>
        <v>0.85</v>
      </c>
      <c r="S23" s="80">
        <f>'Input Data'!AH112</f>
        <v>0.85</v>
      </c>
      <c r="T23" s="80">
        <f>'Input Data'!AH113</f>
        <v>0.85</v>
      </c>
      <c r="U23" s="80">
        <f>'Input Data'!AH114</f>
        <v>0.85</v>
      </c>
      <c r="V23" s="80">
        <f>'Input Data'!AH115</f>
        <v>0.85</v>
      </c>
      <c r="W23" s="80">
        <f>'Input Data'!AH116</f>
        <v>0.85</v>
      </c>
      <c r="X23" s="80">
        <f>'Input Data'!AH117</f>
        <v>0.85</v>
      </c>
      <c r="Y23" s="80">
        <f>'Input Data'!AH118</f>
        <v>0.85</v>
      </c>
      <c r="Z23" s="80">
        <f>'Input Data'!AH119</f>
        <v>0.85</v>
      </c>
      <c r="AA23" s="80">
        <f>'Input Data'!AH120</f>
        <v>0.85</v>
      </c>
      <c r="AB23" s="80">
        <f>'Input Data'!AH121</f>
        <v>0.85</v>
      </c>
      <c r="AC23" s="80">
        <f>IF('Input Data'!AI89&gt;20,'Input Data'!AH122,"")</f>
        <v>0.85</v>
      </c>
      <c r="AD23" s="80">
        <f>IF(AD19="Year 22",'Input Data'!AH123,"")</f>
        <v>0.85</v>
      </c>
      <c r="AE23" s="80">
        <f>IF(AE19="Year 23",'Input Data'!AH124,"")</f>
        <v>0.85</v>
      </c>
      <c r="AF23" s="80">
        <f>IF(AF19="Year 24",'Input Data'!AH125,"")</f>
        <v>0.85</v>
      </c>
      <c r="AG23" s="80">
        <f>IF(AG19="Year 25",'Input Data'!AH126,"")</f>
        <v>0.85</v>
      </c>
      <c r="AH23" s="80">
        <f>IF('Input Data'!AI89&gt;25,'Input Data'!AH127,"")</f>
        <v>0.85</v>
      </c>
      <c r="AI23" s="80">
        <f>IF(AI19="Year 27",'Input Data'!AH128,"")</f>
        <v>0.85</v>
      </c>
      <c r="AJ23" s="80">
        <f>IF(AJ19="Year 28",'Input Data'!AH129,"")</f>
        <v>0.85</v>
      </c>
      <c r="AK23" s="80">
        <f>IF(AK19="Year 29",'Input Data'!AH130,"")</f>
        <v>0.85</v>
      </c>
      <c r="AL23" s="80">
        <f>IF(AL19="Year 30",'Input Data'!AH131,"")</f>
        <v>0.85</v>
      </c>
      <c r="AM23" s="80" t="str">
        <f>IF('Input Data'!AI89&gt;30,'Input Data'!AH132,"")</f>
        <v/>
      </c>
    </row>
    <row r="24" spans="2:39" x14ac:dyDescent="0.2">
      <c r="B24" s="2" t="s">
        <v>163</v>
      </c>
      <c r="F24" s="3"/>
      <c r="G24" s="3"/>
      <c r="H24" s="3"/>
      <c r="I24" s="101">
        <f t="shared" ref="I24:Z24" si="0">I22*8760*I23</f>
        <v>5694</v>
      </c>
      <c r="J24" s="101">
        <f t="shared" si="0"/>
        <v>6570</v>
      </c>
      <c r="K24" s="101">
        <f t="shared" si="0"/>
        <v>7446</v>
      </c>
      <c r="L24" s="101">
        <f t="shared" si="0"/>
        <v>7446</v>
      </c>
      <c r="M24" s="101">
        <f t="shared" si="0"/>
        <v>7446</v>
      </c>
      <c r="N24" s="101">
        <f t="shared" si="0"/>
        <v>7446</v>
      </c>
      <c r="O24" s="101">
        <f t="shared" si="0"/>
        <v>7446</v>
      </c>
      <c r="P24" s="101">
        <f t="shared" si="0"/>
        <v>7446</v>
      </c>
      <c r="Q24" s="101">
        <f t="shared" si="0"/>
        <v>7446</v>
      </c>
      <c r="R24" s="101">
        <f t="shared" si="0"/>
        <v>7446</v>
      </c>
      <c r="S24" s="101">
        <f t="shared" si="0"/>
        <v>7446</v>
      </c>
      <c r="T24" s="101">
        <f t="shared" si="0"/>
        <v>7446</v>
      </c>
      <c r="U24" s="101">
        <f t="shared" si="0"/>
        <v>7446</v>
      </c>
      <c r="V24" s="101">
        <f t="shared" si="0"/>
        <v>7446</v>
      </c>
      <c r="W24" s="101">
        <f t="shared" si="0"/>
        <v>7446</v>
      </c>
      <c r="X24" s="101">
        <f t="shared" si="0"/>
        <v>7446</v>
      </c>
      <c r="Y24" s="101">
        <f t="shared" si="0"/>
        <v>7446</v>
      </c>
      <c r="Z24" s="101">
        <f t="shared" si="0"/>
        <v>7446</v>
      </c>
      <c r="AA24" s="101">
        <f>AA22*8760*AA23</f>
        <v>7446</v>
      </c>
      <c r="AB24" s="101">
        <f>AB22*8760*AB23</f>
        <v>7446</v>
      </c>
      <c r="AC24" s="101">
        <f>IF('Input Data'!AI89&gt;20, AC22*8760*AC23,"")</f>
        <v>7446</v>
      </c>
      <c r="AD24" s="101">
        <f>IF(AD19="Year 22",AD22*8760*AD23,"")</f>
        <v>7446</v>
      </c>
      <c r="AE24" s="101">
        <f>IF(AE19="Year 23",AE22*8760*AE23,"")</f>
        <v>7446</v>
      </c>
      <c r="AF24" s="101">
        <f>IF(AF19="Year 24",AF22*8760*AF23,"")</f>
        <v>7446</v>
      </c>
      <c r="AG24" s="101">
        <f>IF(AG19="Year 25",AG22*8760*AG23,"")</f>
        <v>7446</v>
      </c>
      <c r="AH24" s="101">
        <f>IF('Input Data'!AI89&gt;25,AH22*8760*AH23,"")</f>
        <v>7446</v>
      </c>
      <c r="AI24" s="101">
        <f>IF(AI19="Year 27",AI22*8760*AI23,"")</f>
        <v>7446</v>
      </c>
      <c r="AJ24" s="101">
        <f>IF(AJ19="Year 28",AJ22*8760*AJ23,"")</f>
        <v>7446</v>
      </c>
      <c r="AK24" s="101">
        <f>IF(AK19="Year 29",AK22*8760*AK23,"")</f>
        <v>7446</v>
      </c>
      <c r="AL24" s="101">
        <f>IF(AL19="Year 30",AL22*8760*AL23,"")</f>
        <v>7446</v>
      </c>
      <c r="AM24" s="101" t="str">
        <f>IF('Input Data'!AI89&gt;30,AM22*8760*AM23,"")</f>
        <v/>
      </c>
    </row>
    <row r="25" spans="2:39" x14ac:dyDescent="0.2">
      <c r="B25" s="1" t="s">
        <v>15</v>
      </c>
      <c r="F25" s="80">
        <f>'Input Data'!AI96</f>
        <v>0.25</v>
      </c>
      <c r="G25" s="80">
        <f>'Input Data'!AI97</f>
        <v>0.45</v>
      </c>
      <c r="H25" s="80">
        <f>'Input Data'!AI98</f>
        <v>0.3</v>
      </c>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9" x14ac:dyDescent="0.2">
      <c r="B26" s="1" t="s">
        <v>16</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2:39" x14ac:dyDescent="0.2">
      <c r="B27" s="2" t="s">
        <v>17</v>
      </c>
      <c r="F27" s="3"/>
      <c r="G27" s="3"/>
      <c r="H27" s="3"/>
      <c r="I27" s="87">
        <f>$E$6*I24*$R$5/1000</f>
        <v>311.57100410631313</v>
      </c>
      <c r="J27" s="87">
        <f t="shared" ref="J27:Z27" si="1">$E$6*J24*$R$5/1000</f>
        <v>359.50500473805357</v>
      </c>
      <c r="K27" s="87">
        <f t="shared" si="1"/>
        <v>407.43900536979402</v>
      </c>
      <c r="L27" s="87">
        <f t="shared" si="1"/>
        <v>407.43900536979402</v>
      </c>
      <c r="M27" s="87">
        <f t="shared" si="1"/>
        <v>407.43900536979402</v>
      </c>
      <c r="N27" s="87">
        <f t="shared" si="1"/>
        <v>407.43900536979402</v>
      </c>
      <c r="O27" s="87">
        <f t="shared" si="1"/>
        <v>407.43900536979402</v>
      </c>
      <c r="P27" s="87">
        <f t="shared" si="1"/>
        <v>407.43900536979402</v>
      </c>
      <c r="Q27" s="87">
        <f t="shared" si="1"/>
        <v>407.43900536979402</v>
      </c>
      <c r="R27" s="87">
        <f t="shared" si="1"/>
        <v>407.43900536979402</v>
      </c>
      <c r="S27" s="87">
        <f t="shared" si="1"/>
        <v>407.43900536979402</v>
      </c>
      <c r="T27" s="87">
        <f t="shared" si="1"/>
        <v>407.43900536979402</v>
      </c>
      <c r="U27" s="87">
        <f t="shared" si="1"/>
        <v>407.43900536979402</v>
      </c>
      <c r="V27" s="87">
        <f t="shared" si="1"/>
        <v>407.43900536979402</v>
      </c>
      <c r="W27" s="87">
        <f t="shared" si="1"/>
        <v>407.43900536979402</v>
      </c>
      <c r="X27" s="87">
        <f t="shared" si="1"/>
        <v>407.43900536979402</v>
      </c>
      <c r="Y27" s="87">
        <f t="shared" si="1"/>
        <v>407.43900536979402</v>
      </c>
      <c r="Z27" s="87">
        <f t="shared" si="1"/>
        <v>407.43900536979402</v>
      </c>
      <c r="AA27" s="87">
        <f>$E$6*AA24*$R$5/1000</f>
        <v>407.43900536979402</v>
      </c>
      <c r="AB27" s="87">
        <f>$E$6*AB24*$R$5/1000</f>
        <v>407.43900536979402</v>
      </c>
      <c r="AC27" s="87">
        <f>IF('Input Data'!AI89&gt;20,$E$6*AC24*$R$5/1000,"")</f>
        <v>407.43900536979402</v>
      </c>
      <c r="AD27" s="87">
        <f>IF(AD19="Year 22",$E$6*AD24*$R$5/1000,"")</f>
        <v>407.43900536979402</v>
      </c>
      <c r="AE27" s="87">
        <f>IF(AE19="Year 23",$E$6*AE24*$R$5/1000,"")</f>
        <v>407.43900536979402</v>
      </c>
      <c r="AF27" s="87">
        <f>IF(AF19="Year 24",$E$6*AF24*$R$5/1000,"")</f>
        <v>407.43900536979402</v>
      </c>
      <c r="AG27" s="87">
        <f>IF(AG19="Year 25",$E$6*AG24*$R$5/1000,"")</f>
        <v>407.43900536979402</v>
      </c>
      <c r="AH27" s="87">
        <f>IF('Input Data'!AI89&gt;25,$E$6*AH24*$R$5/1000,"")</f>
        <v>407.43900536979402</v>
      </c>
      <c r="AI27" s="87">
        <f>IF(AI19="Year 27",$E$6*AI24*$R$5/1000,"")</f>
        <v>407.43900536979402</v>
      </c>
      <c r="AJ27" s="87">
        <f>IF(AJ19="Year 28",$E$6*AJ24*$R$5/1000,"")</f>
        <v>407.43900536979402</v>
      </c>
      <c r="AK27" s="87">
        <f>IF(AK19="Year 29",$E$6*AK24*$R$5/1000,"")</f>
        <v>407.43900536979402</v>
      </c>
      <c r="AL27" s="87">
        <f>IF(AL19="Year 30",$E$6*AL24*$R$5/1000,"")</f>
        <v>407.43900536979402</v>
      </c>
      <c r="AM27" s="87" t="str">
        <f>IF('Input Data'!AI89&gt;30,$E$6*AM24*$R$5/1000,"")</f>
        <v/>
      </c>
    </row>
    <row r="28" spans="2:39" x14ac:dyDescent="0.2">
      <c r="B28" s="1" t="s">
        <v>19</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2:39" x14ac:dyDescent="0.2">
      <c r="B29" s="2" t="s">
        <v>157</v>
      </c>
      <c r="F29" s="3"/>
      <c r="G29" s="3"/>
      <c r="H29" s="3"/>
      <c r="I29" s="88">
        <f t="shared" ref="I29:AA29" si="2">$M$5*$E$5*I24/1000000</f>
        <v>95.04116375000001</v>
      </c>
      <c r="J29" s="88">
        <f t="shared" si="2"/>
        <v>109.66288125000001</v>
      </c>
      <c r="K29" s="88">
        <f t="shared" si="2"/>
        <v>124.28459875000001</v>
      </c>
      <c r="L29" s="88">
        <f t="shared" si="2"/>
        <v>124.28459875000001</v>
      </c>
      <c r="M29" s="88">
        <f t="shared" si="2"/>
        <v>124.28459875000001</v>
      </c>
      <c r="N29" s="88">
        <f t="shared" si="2"/>
        <v>124.28459875000001</v>
      </c>
      <c r="O29" s="88">
        <f t="shared" si="2"/>
        <v>124.28459875000001</v>
      </c>
      <c r="P29" s="88">
        <f t="shared" si="2"/>
        <v>124.28459875000001</v>
      </c>
      <c r="Q29" s="88">
        <f t="shared" si="2"/>
        <v>124.28459875000001</v>
      </c>
      <c r="R29" s="88">
        <f t="shared" si="2"/>
        <v>124.28459875000001</v>
      </c>
      <c r="S29" s="88">
        <f t="shared" si="2"/>
        <v>124.28459875000001</v>
      </c>
      <c r="T29" s="88">
        <f t="shared" si="2"/>
        <v>124.28459875000001</v>
      </c>
      <c r="U29" s="88">
        <f t="shared" si="2"/>
        <v>124.28459875000001</v>
      </c>
      <c r="V29" s="88">
        <f t="shared" si="2"/>
        <v>124.28459875000001</v>
      </c>
      <c r="W29" s="88">
        <f t="shared" si="2"/>
        <v>124.28459875000001</v>
      </c>
      <c r="X29" s="88">
        <f t="shared" si="2"/>
        <v>124.28459875000001</v>
      </c>
      <c r="Y29" s="88">
        <f t="shared" si="2"/>
        <v>124.28459875000001</v>
      </c>
      <c r="Z29" s="88">
        <f t="shared" si="2"/>
        <v>124.28459875000001</v>
      </c>
      <c r="AA29" s="88">
        <f t="shared" si="2"/>
        <v>124.28459875000001</v>
      </c>
      <c r="AB29" s="88">
        <f>$M$5*$E$5*AB24/1000000</f>
        <v>124.28459875000001</v>
      </c>
      <c r="AC29" s="88">
        <f>IF('Input Data'!AI89&gt;20,$M$5*$E$5*AC24/1000000,"")</f>
        <v>124.28459875000001</v>
      </c>
      <c r="AD29" s="88">
        <f>IF(AD19="Year 22",$M$5*$E$5*AD24/1000000,"")</f>
        <v>124.28459875000001</v>
      </c>
      <c r="AE29" s="88">
        <f>IF(AE19="Year 23",$M$5*$E$5*AE24/1000000,"")</f>
        <v>124.28459875000001</v>
      </c>
      <c r="AF29" s="88">
        <f>IF(AF19="Year 24",$M$5*$E$5*AF24/1000000,"")</f>
        <v>124.28459875000001</v>
      </c>
      <c r="AG29" s="88">
        <f>IF(AG19="Year 25",$M$5*$E$5*AG24/1000000,"")</f>
        <v>124.28459875000001</v>
      </c>
      <c r="AH29" s="88">
        <f>IF('Input Data'!AI89&gt;25,$M$5*$E$5*AH24/1000000,"")</f>
        <v>124.28459875000001</v>
      </c>
      <c r="AI29" s="88">
        <f>IF(AI19="Year 27",$M$5*$E$5*AI24/1000000,"")</f>
        <v>124.28459875000001</v>
      </c>
      <c r="AJ29" s="88">
        <f>IF(AJ19="Year 28",$M$5*$E$5*AJ24/1000000,"")</f>
        <v>124.28459875000001</v>
      </c>
      <c r="AK29" s="88">
        <f>IF(AK19="Year 29",$M$5*$E$5*AK24/1000000,"")</f>
        <v>124.28459875000001</v>
      </c>
      <c r="AL29" s="88">
        <f>IF(AL19="Year 30",$M$5*$E$5*AL24/1000000,"")</f>
        <v>124.28459875000001</v>
      </c>
      <c r="AM29" s="88" t="str">
        <f>IF('Input Data'!AI89&gt;30,$M$5*$E$5*AM24/1000000,"")</f>
        <v/>
      </c>
    </row>
    <row r="30" spans="2:39" x14ac:dyDescent="0.2">
      <c r="B30" s="2" t="s">
        <v>20</v>
      </c>
      <c r="F30" s="3"/>
      <c r="G30" s="3"/>
      <c r="H30" s="3"/>
      <c r="I30" s="88">
        <f t="shared" ref="I30:AB30" si="3">$M$6</f>
        <v>40.1</v>
      </c>
      <c r="J30" s="88">
        <f t="shared" si="3"/>
        <v>40.1</v>
      </c>
      <c r="K30" s="88">
        <f t="shared" si="3"/>
        <v>40.1</v>
      </c>
      <c r="L30" s="88">
        <f t="shared" si="3"/>
        <v>40.1</v>
      </c>
      <c r="M30" s="88">
        <f t="shared" si="3"/>
        <v>40.1</v>
      </c>
      <c r="N30" s="88">
        <f t="shared" si="3"/>
        <v>40.1</v>
      </c>
      <c r="O30" s="88">
        <f t="shared" si="3"/>
        <v>40.1</v>
      </c>
      <c r="P30" s="88">
        <f t="shared" si="3"/>
        <v>40.1</v>
      </c>
      <c r="Q30" s="88">
        <f t="shared" si="3"/>
        <v>40.1</v>
      </c>
      <c r="R30" s="88">
        <f t="shared" si="3"/>
        <v>40.1</v>
      </c>
      <c r="S30" s="88">
        <f t="shared" si="3"/>
        <v>40.1</v>
      </c>
      <c r="T30" s="88">
        <f t="shared" si="3"/>
        <v>40.1</v>
      </c>
      <c r="U30" s="88">
        <f t="shared" si="3"/>
        <v>40.1</v>
      </c>
      <c r="V30" s="88">
        <f t="shared" si="3"/>
        <v>40.1</v>
      </c>
      <c r="W30" s="88">
        <f t="shared" si="3"/>
        <v>40.1</v>
      </c>
      <c r="X30" s="88">
        <f t="shared" si="3"/>
        <v>40.1</v>
      </c>
      <c r="Y30" s="88">
        <f t="shared" si="3"/>
        <v>40.1</v>
      </c>
      <c r="Z30" s="88">
        <f t="shared" si="3"/>
        <v>40.1</v>
      </c>
      <c r="AA30" s="88">
        <f t="shared" si="3"/>
        <v>40.1</v>
      </c>
      <c r="AB30" s="88">
        <f t="shared" si="3"/>
        <v>40.1</v>
      </c>
      <c r="AC30" s="88">
        <f>IF('Input Data'!AI89&gt;20,$M$6,"")</f>
        <v>40.1</v>
      </c>
      <c r="AD30" s="88">
        <f>IF(AD19="Year 22",$M$6,"")</f>
        <v>40.1</v>
      </c>
      <c r="AE30" s="88">
        <f>IF(AE19="Year 23",$M$6,"")</f>
        <v>40.1</v>
      </c>
      <c r="AF30" s="88">
        <f>IF(AF19="Year 24",$M$6,"")</f>
        <v>40.1</v>
      </c>
      <c r="AG30" s="88">
        <f>IF(AG19="Year 25",$M$6,"")</f>
        <v>40.1</v>
      </c>
      <c r="AH30" s="88">
        <f>IF('Input Data'!AI89&gt;25,$M$6,"")</f>
        <v>40.1</v>
      </c>
      <c r="AI30" s="88">
        <f>IF(AI19="Year 27",$M$6,"")</f>
        <v>40.1</v>
      </c>
      <c r="AJ30" s="88">
        <f>IF(AJ19="Year 28",$M$6,"")</f>
        <v>40.1</v>
      </c>
      <c r="AK30" s="88">
        <f>IF(AK19="Year 29",$M$6,"")</f>
        <v>40.1</v>
      </c>
      <c r="AL30" s="88">
        <f>IF(AL19="Year 30",$M$6,"")</f>
        <v>40.1</v>
      </c>
      <c r="AM30" s="88" t="str">
        <f>IF('Input Data'!AI89&gt;30,$M$6,"")</f>
        <v/>
      </c>
    </row>
    <row r="31" spans="2:39" x14ac:dyDescent="0.2">
      <c r="B31" s="2" t="s">
        <v>21</v>
      </c>
      <c r="F31" s="3"/>
      <c r="G31" s="3"/>
      <c r="H31" s="3"/>
      <c r="I31" s="88">
        <f t="shared" ref="I31:AB31" si="4">$N$12</f>
        <v>7.4750000000000005</v>
      </c>
      <c r="J31" s="88">
        <f t="shared" si="4"/>
        <v>7.4750000000000005</v>
      </c>
      <c r="K31" s="88">
        <f t="shared" si="4"/>
        <v>7.4750000000000005</v>
      </c>
      <c r="L31" s="88">
        <f t="shared" si="4"/>
        <v>7.4750000000000005</v>
      </c>
      <c r="M31" s="88">
        <f t="shared" si="4"/>
        <v>7.4750000000000005</v>
      </c>
      <c r="N31" s="88">
        <f t="shared" si="4"/>
        <v>7.4750000000000005</v>
      </c>
      <c r="O31" s="88">
        <f t="shared" si="4"/>
        <v>7.4750000000000005</v>
      </c>
      <c r="P31" s="88">
        <f t="shared" si="4"/>
        <v>7.4750000000000005</v>
      </c>
      <c r="Q31" s="88">
        <f t="shared" si="4"/>
        <v>7.4750000000000005</v>
      </c>
      <c r="R31" s="88">
        <f t="shared" si="4"/>
        <v>7.4750000000000005</v>
      </c>
      <c r="S31" s="88">
        <f t="shared" si="4"/>
        <v>7.4750000000000005</v>
      </c>
      <c r="T31" s="88">
        <f t="shared" si="4"/>
        <v>7.4750000000000005</v>
      </c>
      <c r="U31" s="88">
        <f t="shared" si="4"/>
        <v>7.4750000000000005</v>
      </c>
      <c r="V31" s="88">
        <f t="shared" si="4"/>
        <v>7.4750000000000005</v>
      </c>
      <c r="W31" s="88">
        <f t="shared" si="4"/>
        <v>7.4750000000000005</v>
      </c>
      <c r="X31" s="88">
        <f t="shared" si="4"/>
        <v>7.4750000000000005</v>
      </c>
      <c r="Y31" s="88">
        <f t="shared" si="4"/>
        <v>7.4750000000000005</v>
      </c>
      <c r="Z31" s="88">
        <f t="shared" si="4"/>
        <v>7.4750000000000005</v>
      </c>
      <c r="AA31" s="88">
        <f t="shared" si="4"/>
        <v>7.4750000000000005</v>
      </c>
      <c r="AB31" s="88">
        <f t="shared" si="4"/>
        <v>7.4750000000000005</v>
      </c>
      <c r="AC31" s="88">
        <f>IF('Input Data'!AI89&gt;20,$N$12,"")</f>
        <v>7.4750000000000005</v>
      </c>
      <c r="AD31" s="88">
        <f>IF(AD19="Year 22",$N$12,"")</f>
        <v>7.4750000000000005</v>
      </c>
      <c r="AE31" s="88">
        <f>IF(AE19="Year 23",$N$12,"")</f>
        <v>7.4750000000000005</v>
      </c>
      <c r="AF31" s="88">
        <f>IF(AF19="Year 24",$N$12,"")</f>
        <v>7.4750000000000005</v>
      </c>
      <c r="AG31" s="88">
        <f>IF(AG19="Year 25",$N$12,"")</f>
        <v>7.4750000000000005</v>
      </c>
      <c r="AH31" s="88">
        <f>IF('Input Data'!AI89&gt;25,$N$12,"")</f>
        <v>7.4750000000000005</v>
      </c>
      <c r="AI31" s="88">
        <f>IF(AI19="Year 27",$N$12,"")</f>
        <v>7.4750000000000005</v>
      </c>
      <c r="AJ31" s="88">
        <f>IF(AJ19="Year 28",$N$12,"")</f>
        <v>7.4750000000000005</v>
      </c>
      <c r="AK31" s="88">
        <f>IF(AK19="Year 29",$N$12,"")</f>
        <v>7.4750000000000005</v>
      </c>
      <c r="AL31" s="88">
        <f>IF(AL19="Year 30",$N$12,"")</f>
        <v>7.4750000000000005</v>
      </c>
      <c r="AM31" s="88" t="str">
        <f>IF('Input Data'!AI89&gt;30,$N$12,"")</f>
        <v/>
      </c>
    </row>
    <row r="32" spans="2:39" x14ac:dyDescent="0.2">
      <c r="B32" s="2" t="s">
        <v>22</v>
      </c>
      <c r="F32" s="3"/>
      <c r="G32" s="3"/>
      <c r="H32" s="3"/>
      <c r="I32" s="88">
        <f>I22*I23*'Input Data'!$AI$74/0.85</f>
        <v>11.623529411764705</v>
      </c>
      <c r="J32" s="88">
        <f>J22*J23*'Input Data'!$AI$74/0.85</f>
        <v>13.411764705882351</v>
      </c>
      <c r="K32" s="88">
        <f>K22*K23*'Input Data'!$AI$74/0.85</f>
        <v>15.200000000000001</v>
      </c>
      <c r="L32" s="88">
        <f>L22*L23*'Input Data'!$AI$74/0.85</f>
        <v>15.200000000000001</v>
      </c>
      <c r="M32" s="88">
        <f>M22*M23*'Input Data'!$AI$74/0.85</f>
        <v>15.200000000000001</v>
      </c>
      <c r="N32" s="88">
        <f>N22*N23*'Input Data'!$AI$74/0.85</f>
        <v>15.200000000000001</v>
      </c>
      <c r="O32" s="88">
        <f>O22*O23*'Input Data'!$AI$74/0.85</f>
        <v>15.200000000000001</v>
      </c>
      <c r="P32" s="88">
        <f>P22*P23*'Input Data'!$AI$74/0.85</f>
        <v>15.200000000000001</v>
      </c>
      <c r="Q32" s="88">
        <f>Q22*Q23*'Input Data'!$AI$74/0.85</f>
        <v>15.200000000000001</v>
      </c>
      <c r="R32" s="88">
        <f>R22*R23*'Input Data'!$AI$74/0.85</f>
        <v>15.200000000000001</v>
      </c>
      <c r="S32" s="88">
        <f>S22*S23*'Input Data'!$AI$74/0.85</f>
        <v>15.200000000000001</v>
      </c>
      <c r="T32" s="88">
        <f>T22*T23*'Input Data'!$AI$74/0.85</f>
        <v>15.200000000000001</v>
      </c>
      <c r="U32" s="88">
        <f>U22*U23*'Input Data'!$AI$74/0.85</f>
        <v>15.200000000000001</v>
      </c>
      <c r="V32" s="88">
        <f>V22*V23*'Input Data'!$AI$74/0.85</f>
        <v>15.200000000000001</v>
      </c>
      <c r="W32" s="88">
        <f>W22*W23*'Input Data'!$AI$74/0.85</f>
        <v>15.200000000000001</v>
      </c>
      <c r="X32" s="88">
        <f>X22*X23*'Input Data'!$AI$74/0.85</f>
        <v>15.200000000000001</v>
      </c>
      <c r="Y32" s="88">
        <f>Y22*Y23*'Input Data'!$AI$74/0.85</f>
        <v>15.200000000000001</v>
      </c>
      <c r="Z32" s="88">
        <f>Z22*Z23*'Input Data'!$AI$74/0.85</f>
        <v>15.200000000000001</v>
      </c>
      <c r="AA32" s="88">
        <f>AA22*AA23*'Input Data'!$AI$74/0.85</f>
        <v>15.200000000000001</v>
      </c>
      <c r="AB32" s="88">
        <f>IF(AB19="Year 20",AB22*AB23*'Input Data'!$AI$74/0.85,"")</f>
        <v>15.200000000000001</v>
      </c>
      <c r="AC32" s="88">
        <f>IF('Input Data'!AI89&gt;20,AC22*AC23*'Input Data'!$AI$74/0.85,"")</f>
        <v>15.200000000000001</v>
      </c>
      <c r="AD32" s="88">
        <f>IF(AD19="Year 22",AD22*AD23*'Input Data'!$AI$74/0.85,"")</f>
        <v>15.200000000000001</v>
      </c>
      <c r="AE32" s="88">
        <f>IF(AE19="Year 23",AE22*AE23*'Input Data'!$AI$74/0.85,"")</f>
        <v>15.200000000000001</v>
      </c>
      <c r="AF32" s="88">
        <f>IF(AF19="Year 24",AF22*AF23*'Input Data'!$AI$74/0.85,"")</f>
        <v>15.200000000000001</v>
      </c>
      <c r="AG32" s="88">
        <f>IF(AG19="Year 25",AG22*AG23*'Input Data'!$AI$74/0.85,"")</f>
        <v>15.200000000000001</v>
      </c>
      <c r="AH32" s="88">
        <f>IF('Input Data'!AI89&gt;25,AH22*AH23*'Input Data'!$AI$74/0.85,"")</f>
        <v>15.200000000000001</v>
      </c>
      <c r="AI32" s="88">
        <f>IF(AI19="Year 27",AI22*AI23*'Input Data'!$AI$74/0.85,"")</f>
        <v>15.200000000000001</v>
      </c>
      <c r="AJ32" s="88">
        <f>IF(AJ19="Year 28",AJ22*AJ23*'Input Data'!$AI$74/0.85,"")</f>
        <v>15.200000000000001</v>
      </c>
      <c r="AK32" s="88">
        <f>IF(AK19="Year 29",AK22*AK23*'Input Data'!$AI$74/0.85,"")</f>
        <v>15.200000000000001</v>
      </c>
      <c r="AL32" s="88">
        <f>IF(AL19="Year 30",AL22*AL23*'Input Data'!$AI$74/0.85,"")</f>
        <v>15.200000000000001</v>
      </c>
      <c r="AM32" s="88" t="str">
        <f>IF('Input Data'!AI89&gt;30,AM22*AM23*'Input Data'!$AI$74/0.85,"")</f>
        <v/>
      </c>
    </row>
    <row r="33" spans="2:40" x14ac:dyDescent="0.2">
      <c r="B33" s="2" t="s">
        <v>23</v>
      </c>
      <c r="F33" s="3"/>
      <c r="G33" s="3"/>
      <c r="H33" s="3"/>
      <c r="I33" s="88">
        <f>I24*'Input Data'!$AI$40*'Input Data'!$AI$73/1000000</f>
        <v>1.1274120000000001</v>
      </c>
      <c r="J33" s="88">
        <f>J24*'Input Data'!$AI$40*'Input Data'!$AI$73/1000000</f>
        <v>1.3008599999999999</v>
      </c>
      <c r="K33" s="88">
        <f>K24*'Input Data'!$AI$40*'Input Data'!$AI$73/1000000</f>
        <v>1.474308</v>
      </c>
      <c r="L33" s="88">
        <f>L24*'Input Data'!$AI$40*'Input Data'!$AI$73/1000000</f>
        <v>1.474308</v>
      </c>
      <c r="M33" s="88">
        <f>M24*'Input Data'!$AI$40*'Input Data'!$AI$73/1000000</f>
        <v>1.474308</v>
      </c>
      <c r="N33" s="88">
        <f>N24*'Input Data'!$AI$40*'Input Data'!$AI$73/1000000</f>
        <v>1.474308</v>
      </c>
      <c r="O33" s="88">
        <f>O24*'Input Data'!$AI$40*'Input Data'!$AI$73/1000000</f>
        <v>1.474308</v>
      </c>
      <c r="P33" s="88">
        <f>P24*'Input Data'!$AI$40*'Input Data'!$AI$73/1000000</f>
        <v>1.474308</v>
      </c>
      <c r="Q33" s="88">
        <f>Q24*'Input Data'!$AI$40*'Input Data'!$AI$73/1000000</f>
        <v>1.474308</v>
      </c>
      <c r="R33" s="88">
        <f>R24*'Input Data'!$AI$40*'Input Data'!$AI$73/1000000</f>
        <v>1.474308</v>
      </c>
      <c r="S33" s="88">
        <f>S24*'Input Data'!$AI$40*'Input Data'!$AI$73/1000000</f>
        <v>1.474308</v>
      </c>
      <c r="T33" s="88">
        <f>T24*'Input Data'!$AI$40*'Input Data'!$AI$73/1000000</f>
        <v>1.474308</v>
      </c>
      <c r="U33" s="88">
        <f>U24*'Input Data'!$AI$40*'Input Data'!$AI$73/1000000</f>
        <v>1.474308</v>
      </c>
      <c r="V33" s="88">
        <f>V24*'Input Data'!$AI$40*'Input Data'!$AI$73/1000000</f>
        <v>1.474308</v>
      </c>
      <c r="W33" s="88">
        <f>W24*'Input Data'!$AI$40*'Input Data'!$AI$73/1000000</f>
        <v>1.474308</v>
      </c>
      <c r="X33" s="88">
        <f>X24*'Input Data'!$AI$40*'Input Data'!$AI$73/1000000</f>
        <v>1.474308</v>
      </c>
      <c r="Y33" s="88">
        <f>Y24*'Input Data'!$AI$40*'Input Data'!$AI$73/1000000</f>
        <v>1.474308</v>
      </c>
      <c r="Z33" s="88">
        <f>Z24*'Input Data'!$AI$40*'Input Data'!$AI$73/1000000</f>
        <v>1.474308</v>
      </c>
      <c r="AA33" s="88">
        <f>AA24*'Input Data'!$AI$40*'Input Data'!$AI$73/1000000</f>
        <v>1.474308</v>
      </c>
      <c r="AB33" s="88">
        <f>IF(AB19="Year 20",AB24*'Input Data'!$AI$40*'Input Data'!$AI$73/1000000,"")</f>
        <v>1.474308</v>
      </c>
      <c r="AC33" s="88">
        <f>IF('Input Data'!AI89&gt;20,AC24*'Input Data'!$AI$40*'Input Data'!$AI$73/1000000,"")</f>
        <v>1.474308</v>
      </c>
      <c r="AD33" s="88">
        <f>IF(AD19="Year 22",AD24*'Input Data'!$AI$40*'Input Data'!$AI$73/1000000,"")</f>
        <v>1.474308</v>
      </c>
      <c r="AE33" s="88">
        <f>IF(AE19="Year 23",AE24*'Input Data'!$AI$40*'Input Data'!$AI$73/1000000,"")</f>
        <v>1.474308</v>
      </c>
      <c r="AF33" s="88">
        <f>IF(AF19="Year 24",AF24*'Input Data'!$AI$40*'Input Data'!$AI$73/1000000,"")</f>
        <v>1.474308</v>
      </c>
      <c r="AG33" s="88">
        <f>IF(AG19="Year 25",AG24*'Input Data'!$AI$40*'Input Data'!$AI$73/1000000,"")</f>
        <v>1.474308</v>
      </c>
      <c r="AH33" s="88">
        <f>IF('Input Data'!AI89&gt;25,AH24*'Input Data'!$AI$40*'Input Data'!$AI$73/1000000,"")</f>
        <v>1.474308</v>
      </c>
      <c r="AI33" s="88">
        <f>IF(AI19="Year 27",AI24*'Input Data'!$AI$40*'Input Data'!$AI$73/1000000,"")</f>
        <v>1.474308</v>
      </c>
      <c r="AJ33" s="88">
        <f>IF(AJ19="Year 28",AJ24*'Input Data'!$AI$40*'Input Data'!$AI$73/1000000,"")</f>
        <v>1.474308</v>
      </c>
      <c r="AK33" s="88">
        <f>IF(AK19="Year 29",AK24*'Input Data'!$AI$40*'Input Data'!$AI$73/1000000,"")</f>
        <v>1.474308</v>
      </c>
      <c r="AL33" s="88">
        <f>IF(AL19="Year 30",AL24*'Input Data'!$AI$40*'Input Data'!$AI$73/1000000,"")</f>
        <v>1.474308</v>
      </c>
      <c r="AM33" s="88" t="str">
        <f>IF('Input Data'!AI89&gt;30,AM24*'Input Data'!$AI$40*'Input Data'!$AI$73/1000000,"")</f>
        <v/>
      </c>
    </row>
    <row r="34" spans="2:40" x14ac:dyDescent="0.2">
      <c r="B34" s="2" t="s">
        <v>124</v>
      </c>
      <c r="F34" s="3"/>
      <c r="G34" s="3"/>
      <c r="H34" s="3"/>
      <c r="I34" s="88">
        <f>I5*R10</f>
        <v>22.964000000000006</v>
      </c>
      <c r="J34" s="88">
        <f>I5*R10</f>
        <v>22.964000000000006</v>
      </c>
      <c r="K34" s="88">
        <f>I5*R10</f>
        <v>22.964000000000006</v>
      </c>
      <c r="L34" s="88">
        <f>I5*R10</f>
        <v>22.964000000000006</v>
      </c>
      <c r="M34" s="88">
        <f>I5*R10</f>
        <v>22.964000000000006</v>
      </c>
      <c r="N34" s="88">
        <f>I5*R10</f>
        <v>22.964000000000006</v>
      </c>
      <c r="O34" s="88">
        <f>I5*R10</f>
        <v>22.964000000000006</v>
      </c>
      <c r="P34" s="88">
        <f>I5*R10</f>
        <v>22.964000000000006</v>
      </c>
      <c r="Q34" s="88">
        <f>I5*R10</f>
        <v>22.964000000000006</v>
      </c>
      <c r="R34" s="88">
        <f>I5*R10</f>
        <v>22.964000000000006</v>
      </c>
      <c r="S34" s="88">
        <f>I5*R10</f>
        <v>22.964000000000006</v>
      </c>
      <c r="T34" s="88">
        <f>I5*R10</f>
        <v>22.964000000000006</v>
      </c>
      <c r="U34" s="88">
        <f>I5*R10</f>
        <v>22.964000000000006</v>
      </c>
      <c r="V34" s="88">
        <f>I5*R10</f>
        <v>22.964000000000006</v>
      </c>
      <c r="W34" s="88">
        <f>I5*R10</f>
        <v>22.964000000000006</v>
      </c>
      <c r="X34" s="88">
        <f>I5*R10</f>
        <v>22.964000000000006</v>
      </c>
      <c r="Y34" s="88">
        <f>I5*R10</f>
        <v>22.964000000000006</v>
      </c>
      <c r="Z34" s="88">
        <f>I5*R10</f>
        <v>22.964000000000006</v>
      </c>
      <c r="AA34" s="88">
        <f>I5*R10</f>
        <v>22.964000000000006</v>
      </c>
      <c r="AB34" s="88">
        <f>I5*R10</f>
        <v>22.964000000000006</v>
      </c>
      <c r="AC34" s="88">
        <f>IF('Input Data'!AI89&gt;20,I5*R10,"")</f>
        <v>22.964000000000006</v>
      </c>
      <c r="AD34" s="88">
        <f>IF(AD19="Year 22",R10*I5,"")</f>
        <v>22.964000000000006</v>
      </c>
      <c r="AE34" s="88">
        <f>IF(AE19="Year 23",I5*R10,"")</f>
        <v>22.964000000000006</v>
      </c>
      <c r="AF34" s="88">
        <f>IF(AF19="Year 24",I5*R10,"")</f>
        <v>22.964000000000006</v>
      </c>
      <c r="AG34" s="88">
        <f>IF(AG19="Year 25",I5*R10,"")</f>
        <v>22.964000000000006</v>
      </c>
      <c r="AH34" s="88">
        <f>IF('Input Data'!AI89&gt;25,I5*R10,"")</f>
        <v>22.964000000000006</v>
      </c>
      <c r="AI34" s="88">
        <f>IF(AI19="Year 27",I5*R10,"")</f>
        <v>22.964000000000006</v>
      </c>
      <c r="AJ34" s="88">
        <f>IF(AJ19="Year 28",I5*R10,"")</f>
        <v>22.964000000000006</v>
      </c>
      <c r="AK34" s="88">
        <f>IF(AK19="Year 29",I5*R10,"")</f>
        <v>22.964000000000006</v>
      </c>
      <c r="AL34" s="88">
        <f>IF(AL19="Year 30",I5*R10,"")</f>
        <v>22.964000000000006</v>
      </c>
      <c r="AM34" s="88" t="str">
        <f>IF('Input Data'!AI89&gt;30,I5*R10,"")</f>
        <v/>
      </c>
    </row>
    <row r="35" spans="2:40" ht="15.75" x14ac:dyDescent="0.3">
      <c r="B35" s="2" t="s">
        <v>197</v>
      </c>
      <c r="F35" s="3"/>
      <c r="G35" s="3"/>
      <c r="H35" s="3"/>
      <c r="I35" s="88">
        <f>'Input Data'!$AI$33*'Input Data'!$AI$77*I24/1000000</f>
        <v>0</v>
      </c>
      <c r="J35" s="88">
        <f>'Input Data'!$AI$33*'Input Data'!$AI$77*J24/1000000</f>
        <v>0</v>
      </c>
      <c r="K35" s="88">
        <f>'Input Data'!$AI$33*'Input Data'!$AI$77*K24/1000000</f>
        <v>0</v>
      </c>
      <c r="L35" s="88">
        <f>'Input Data'!$AI$33*'Input Data'!$AI$77*L24/1000000</f>
        <v>0</v>
      </c>
      <c r="M35" s="88">
        <f>'Input Data'!$AI$33*'Input Data'!$AI$77*M24/1000000</f>
        <v>0</v>
      </c>
      <c r="N35" s="88">
        <f>'Input Data'!$AI$33*'Input Data'!$AI$77*N24/1000000</f>
        <v>0</v>
      </c>
      <c r="O35" s="88">
        <f>'Input Data'!$AI$33*'Input Data'!$AI$77*O24/1000000</f>
        <v>0</v>
      </c>
      <c r="P35" s="88">
        <f>'Input Data'!$AI$33*'Input Data'!$AI$77*P24/1000000</f>
        <v>0</v>
      </c>
      <c r="Q35" s="88">
        <f>'Input Data'!$AI$33*'Input Data'!$AI$77*Q24/1000000</f>
        <v>0</v>
      </c>
      <c r="R35" s="88">
        <f>'Input Data'!$AI$33*'Input Data'!$AI$77*R24/1000000</f>
        <v>0</v>
      </c>
      <c r="S35" s="88">
        <f>'Input Data'!$AI$33*'Input Data'!$AI$77*S24/1000000</f>
        <v>0</v>
      </c>
      <c r="T35" s="88">
        <f>'Input Data'!$AI$33*'Input Data'!$AI$77*T24/1000000</f>
        <v>0</v>
      </c>
      <c r="U35" s="88">
        <f>'Input Data'!$AI$33*'Input Data'!$AI$77*U24/1000000</f>
        <v>0</v>
      </c>
      <c r="V35" s="88">
        <f>'Input Data'!$AI$33*'Input Data'!$AI$77*V24/1000000</f>
        <v>0</v>
      </c>
      <c r="W35" s="88">
        <f>'Input Data'!$AI$33*'Input Data'!$AI$77*W24/1000000</f>
        <v>0</v>
      </c>
      <c r="X35" s="88">
        <f>'Input Data'!$AI$33*'Input Data'!$AI$77*X24/1000000</f>
        <v>0</v>
      </c>
      <c r="Y35" s="88">
        <f>'Input Data'!$AI$33*'Input Data'!$AI$77*Y24/1000000</f>
        <v>0</v>
      </c>
      <c r="Z35" s="88">
        <f>'Input Data'!$AI$33*'Input Data'!$AI$77*Z24/1000000</f>
        <v>0</v>
      </c>
      <c r="AA35" s="88">
        <f>'Input Data'!$AI$33*'Input Data'!$AI$77*AA24/1000000</f>
        <v>0</v>
      </c>
      <c r="AB35" s="88">
        <f>'Input Data'!$AI$33*'Input Data'!$AI$77*AB24/1000000</f>
        <v>0</v>
      </c>
      <c r="AC35" s="88">
        <f>IF('Input Data'!AI89&gt;20,'Input Data'!$AI$33*'Input Data'!$AI$77*AC24/1000000,"")</f>
        <v>0</v>
      </c>
      <c r="AD35" s="88">
        <f>IF(AD19="Year 22",'Input Data'!$AI$33*'Input Data'!$AI$77*AD24/1000000,"")</f>
        <v>0</v>
      </c>
      <c r="AE35" s="88">
        <f>IF(AE19="Year 23",'Input Data'!$AI$33*'Input Data'!$AI$77*AE24/1000000,"")</f>
        <v>0</v>
      </c>
      <c r="AF35" s="88">
        <f>IF(AF19="Year 24",'Input Data'!$AI$33*'Input Data'!$AI$77*AF24/1000000,"")</f>
        <v>0</v>
      </c>
      <c r="AG35" s="88">
        <f>IF(AG19="Year 25",'Input Data'!$AI$33*'Input Data'!$AI$77*AG24/1000000,"")</f>
        <v>0</v>
      </c>
      <c r="AH35" s="88">
        <f>IF('Input Data'!AI89&gt;25,'Input Data'!$AI$33*'Input Data'!$AI$77*AH24/1000000,"")</f>
        <v>0</v>
      </c>
      <c r="AI35" s="88">
        <f>IF(AI19="Year 27",'Input Data'!$AI$33*'Input Data'!$AI$77*AI24/1000000,"")</f>
        <v>0</v>
      </c>
      <c r="AJ35" s="88">
        <f>IF(AJ19="Year 28",'Input Data'!$AI$33*'Input Data'!$AI$77*AJ24/1000000,"")</f>
        <v>0</v>
      </c>
      <c r="AK35" s="88">
        <f>IF(AK19="Year 29",'Input Data'!$AI$33*'Input Data'!$AI$77*AK24/1000000,"")</f>
        <v>0</v>
      </c>
      <c r="AL35" s="88">
        <f>IF(AL19="Year 30",'Input Data'!$AI$33*'Input Data'!$AI$77*AL24/1000000,"")</f>
        <v>0</v>
      </c>
      <c r="AM35" s="88" t="str">
        <f>IF('Input Data'!AI89&gt;30,'Input Data'!$AI$33*'Input Data'!$AI$77*AM24/1000000,"")</f>
        <v/>
      </c>
    </row>
    <row r="36" spans="2:40" x14ac:dyDescent="0.2">
      <c r="B36" s="1" t="s">
        <v>132</v>
      </c>
      <c r="F36" s="88">
        <f>I10*F25</f>
        <v>401.87000000000012</v>
      </c>
      <c r="G36" s="88">
        <f>I10*G25</f>
        <v>723.36600000000021</v>
      </c>
      <c r="H36" s="88">
        <f>H25*I10</f>
        <v>482.24400000000014</v>
      </c>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40" ht="13.5" thickBot="1" x14ac:dyDescent="0.25">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2:40" ht="13.5" thickBot="1" x14ac:dyDescent="0.25">
      <c r="B38" s="90" t="s">
        <v>129</v>
      </c>
      <c r="C38" s="91"/>
      <c r="D38" s="91"/>
      <c r="E38" s="91"/>
      <c r="F38" s="92">
        <f t="shared" ref="F38:AB38" si="5">SUM(F27:F27)-SUM(F29:F35)-F36</f>
        <v>-401.87000000000012</v>
      </c>
      <c r="G38" s="92">
        <f t="shared" si="5"/>
        <v>-723.36600000000021</v>
      </c>
      <c r="H38" s="92">
        <f t="shared" si="5"/>
        <v>-482.24400000000014</v>
      </c>
      <c r="I38" s="92">
        <f t="shared" si="5"/>
        <v>133.23989894454843</v>
      </c>
      <c r="J38" s="92">
        <f t="shared" si="5"/>
        <v>164.59049878217121</v>
      </c>
      <c r="K38" s="92">
        <f t="shared" si="5"/>
        <v>195.94109861979402</v>
      </c>
      <c r="L38" s="92">
        <f t="shared" si="5"/>
        <v>195.94109861979402</v>
      </c>
      <c r="M38" s="92">
        <f t="shared" si="5"/>
        <v>195.94109861979402</v>
      </c>
      <c r="N38" s="92">
        <f t="shared" si="5"/>
        <v>195.94109861979402</v>
      </c>
      <c r="O38" s="92">
        <f t="shared" si="5"/>
        <v>195.94109861979402</v>
      </c>
      <c r="P38" s="92">
        <f t="shared" si="5"/>
        <v>195.94109861979402</v>
      </c>
      <c r="Q38" s="92">
        <f t="shared" si="5"/>
        <v>195.94109861979402</v>
      </c>
      <c r="R38" s="92">
        <f t="shared" si="5"/>
        <v>195.94109861979402</v>
      </c>
      <c r="S38" s="92">
        <f t="shared" si="5"/>
        <v>195.94109861979402</v>
      </c>
      <c r="T38" s="92">
        <f t="shared" si="5"/>
        <v>195.94109861979402</v>
      </c>
      <c r="U38" s="92">
        <f t="shared" si="5"/>
        <v>195.94109861979402</v>
      </c>
      <c r="V38" s="92">
        <f t="shared" si="5"/>
        <v>195.94109861979402</v>
      </c>
      <c r="W38" s="92">
        <f t="shared" si="5"/>
        <v>195.94109861979402</v>
      </c>
      <c r="X38" s="92">
        <f t="shared" si="5"/>
        <v>195.94109861979402</v>
      </c>
      <c r="Y38" s="92">
        <f t="shared" si="5"/>
        <v>195.94109861979402</v>
      </c>
      <c r="Z38" s="92">
        <f t="shared" si="5"/>
        <v>195.94109861979402</v>
      </c>
      <c r="AA38" s="92">
        <f t="shared" si="5"/>
        <v>195.94109861979402</v>
      </c>
      <c r="AB38" s="92">
        <f t="shared" si="5"/>
        <v>195.94109861979402</v>
      </c>
      <c r="AC38" s="92">
        <f>IF(AC19="Year 21",SUM(AC27:AC27)-SUM(AC29:AC35)-AC36,"")</f>
        <v>195.94109861979402</v>
      </c>
      <c r="AD38" s="92">
        <f>IF(AD19="Year 22",SUM(AD27:AD27)-SUM(AD29:AD35)-AD36,"")</f>
        <v>195.94109861979402</v>
      </c>
      <c r="AE38" s="92">
        <f>IF(AE19="Year 23",SUM(AE27:AE27)-SUM(AE29:AE35)-AE36,"")</f>
        <v>195.94109861979402</v>
      </c>
      <c r="AF38" s="92">
        <f>IF(AF19="Year 24",SUM(AF27:AF27)-SUM(AF29:AF35)-AF36,"")</f>
        <v>195.94109861979402</v>
      </c>
      <c r="AG38" s="92">
        <f>IF(AG19="Year 25",SUM(AG27:AG27)-SUM(AG29:AG35)-AG36,"")</f>
        <v>195.94109861979402</v>
      </c>
      <c r="AH38" s="92">
        <f>IF(AH19="Year 26",SUM(AH27:AH27)-SUM(AH29:AH35)-AH36,"")</f>
        <v>195.94109861979402</v>
      </c>
      <c r="AI38" s="92">
        <f>IF(AI19="Year 27",SUM(AI27:AI27)-SUM(AI29:AI35)-AI36,"")</f>
        <v>195.94109861979402</v>
      </c>
      <c r="AJ38" s="92">
        <f>IF(AJ19="Year 28",SUM(AJ27:AJ27)-SUM(AJ29:AJ35)-AJ36,"")</f>
        <v>195.94109861979402</v>
      </c>
      <c r="AK38" s="92">
        <f>IF(AK19="Year 29",SUM(AK27:AK27)-SUM(AK29:AK35)-AK36,"")</f>
        <v>195.94109861979402</v>
      </c>
      <c r="AL38" s="92">
        <f>IF(AL19="Year 30",SUM(AL27:AL27)-SUM(AL29:AL35)-AL36,"")</f>
        <v>195.94109861979402</v>
      </c>
      <c r="AM38" s="92">
        <f>IF(AM19="Year 31",SUM(AM27:AM27)-SUM(AM29:AM35)-AM36,"")</f>
        <v>0</v>
      </c>
    </row>
    <row r="39" spans="2:40" ht="13.5" thickBot="1" x14ac:dyDescent="0.25">
      <c r="B39" s="90" t="s">
        <v>130</v>
      </c>
      <c r="C39" s="91"/>
      <c r="D39" s="91"/>
      <c r="E39" s="91"/>
      <c r="F39" s="93">
        <f>F38</f>
        <v>-401.87000000000012</v>
      </c>
      <c r="G39" s="93">
        <f>-1*(ABS(G38)+ABS(F39))</f>
        <v>-1125.2360000000003</v>
      </c>
      <c r="H39" s="93">
        <f>-1*(ABS(H38)+ABS(G39))</f>
        <v>-1607.4800000000005</v>
      </c>
      <c r="I39" s="93">
        <f t="shared" ref="I39:AB39" si="6">H39+I38</f>
        <v>-1474.240101055452</v>
      </c>
      <c r="J39" s="93">
        <f t="shared" si="6"/>
        <v>-1309.6496022732808</v>
      </c>
      <c r="K39" s="93">
        <f t="shared" si="6"/>
        <v>-1113.7085036534868</v>
      </c>
      <c r="L39" s="93">
        <f t="shared" si="6"/>
        <v>-917.76740503369274</v>
      </c>
      <c r="M39" s="93">
        <f t="shared" si="6"/>
        <v>-721.82630641389869</v>
      </c>
      <c r="N39" s="93">
        <f t="shared" si="6"/>
        <v>-525.88520779410464</v>
      </c>
      <c r="O39" s="93">
        <f t="shared" si="6"/>
        <v>-329.9441091743106</v>
      </c>
      <c r="P39" s="93">
        <f t="shared" si="6"/>
        <v>-134.00301055451658</v>
      </c>
      <c r="Q39" s="93">
        <f t="shared" si="6"/>
        <v>61.938088065277441</v>
      </c>
      <c r="R39" s="93">
        <f t="shared" si="6"/>
        <v>257.87918668507143</v>
      </c>
      <c r="S39" s="93">
        <f t="shared" si="6"/>
        <v>453.82028530486548</v>
      </c>
      <c r="T39" s="93">
        <f t="shared" si="6"/>
        <v>649.76138392465953</v>
      </c>
      <c r="U39" s="93">
        <f t="shared" si="6"/>
        <v>845.70248254445357</v>
      </c>
      <c r="V39" s="93">
        <f t="shared" si="6"/>
        <v>1041.6435811642475</v>
      </c>
      <c r="W39" s="93">
        <f t="shared" si="6"/>
        <v>1237.5846797840416</v>
      </c>
      <c r="X39" s="93">
        <f t="shared" si="6"/>
        <v>1433.5257784038356</v>
      </c>
      <c r="Y39" s="93">
        <f t="shared" si="6"/>
        <v>1629.4668770236296</v>
      </c>
      <c r="Z39" s="93">
        <f t="shared" si="6"/>
        <v>1825.4079756434237</v>
      </c>
      <c r="AA39" s="93">
        <f t="shared" si="6"/>
        <v>2021.3490742632177</v>
      </c>
      <c r="AB39" s="93">
        <f t="shared" si="6"/>
        <v>2217.2901728830116</v>
      </c>
      <c r="AC39" s="93">
        <f>IF(AC19="Year 21",AB39+AC38,"")</f>
        <v>2413.2312715028056</v>
      </c>
      <c r="AD39" s="93">
        <f>IF(AD19="Year 22",AC39+AD38,"")</f>
        <v>2609.1723701225997</v>
      </c>
      <c r="AE39" s="93">
        <f>IF(AE19="Year 23",AD39+AE38,"")</f>
        <v>2805.1134687423937</v>
      </c>
      <c r="AF39" s="93">
        <f>IF(AF19="Year 24",AE39+AF38,"")</f>
        <v>3001.0545673621878</v>
      </c>
      <c r="AG39" s="93">
        <f>IF(AG19="Year 25",AF39+AG38,"")</f>
        <v>3196.9956659819818</v>
      </c>
      <c r="AH39" s="93">
        <f>IF(AH19="Year 26",AG39+AH38,"")</f>
        <v>3392.9367646017758</v>
      </c>
      <c r="AI39" s="93">
        <f>IF(AI19="Year 27",AH39+AI38,"")</f>
        <v>3588.8778632215699</v>
      </c>
      <c r="AJ39" s="93">
        <f>IF(AJ19="Year 28",AI39+AJ38,"")</f>
        <v>3784.8189618413639</v>
      </c>
      <c r="AK39" s="93">
        <f>IF(AK19="Year 29",AJ39+AK38,"")</f>
        <v>3980.760060461158</v>
      </c>
      <c r="AL39" s="93">
        <f>IF(AL19="Year 30",AK39+AL38,"")</f>
        <v>4176.7011590809516</v>
      </c>
      <c r="AM39" s="93">
        <f>IF(AM19="Year 31",AL39+AM38,"")</f>
        <v>4176.7011590809516</v>
      </c>
    </row>
    <row r="40" spans="2:40" ht="13.5" thickBot="1" x14ac:dyDescent="0.25">
      <c r="B40" s="90"/>
      <c r="C40" s="91"/>
      <c r="D40" s="91"/>
      <c r="E40" s="91"/>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1"/>
      <c r="AJ40" s="91"/>
      <c r="AK40" s="91"/>
      <c r="AL40" s="91"/>
      <c r="AM40" s="91"/>
    </row>
    <row r="41" spans="2:40" ht="13.5" thickBot="1" x14ac:dyDescent="0.25">
      <c r="B41" s="90" t="s">
        <v>128</v>
      </c>
      <c r="C41" s="91"/>
      <c r="D41" s="91"/>
      <c r="E41" s="91"/>
      <c r="F41" s="93">
        <f>F39/(1+R9)</f>
        <v>-365.33636363636373</v>
      </c>
      <c r="G41" s="93">
        <f>G38/(1+R9)^2</f>
        <v>-597.82314049586785</v>
      </c>
      <c r="H41" s="93">
        <f>H38/(1+R9)^3</f>
        <v>-362.31705484598046</v>
      </c>
      <c r="I41" s="93">
        <f>I38/(1+R9)^4</f>
        <v>91.004643770608837</v>
      </c>
      <c r="J41" s="93">
        <f>J38/(1+R9)^5</f>
        <v>102.19775026679199</v>
      </c>
      <c r="K41" s="93">
        <f>K38/(1+R9)^6</f>
        <v>110.60364199696987</v>
      </c>
      <c r="L41" s="93">
        <f>L38/(1+R9)^7</f>
        <v>100.54876545179077</v>
      </c>
      <c r="M41" s="93">
        <f>M38/(1+R9)^8</f>
        <v>91.407968592537074</v>
      </c>
      <c r="N41" s="93">
        <f>N38/(1+R9)^9</f>
        <v>83.098153265942784</v>
      </c>
      <c r="O41" s="93">
        <f>O38/(1+R9)^10</f>
        <v>75.543775696311613</v>
      </c>
      <c r="P41" s="93">
        <f>P38/(1+R9)^11</f>
        <v>68.676159723919639</v>
      </c>
      <c r="Q41" s="93">
        <f>Q38/(1+R9)^12</f>
        <v>62.432872476290584</v>
      </c>
      <c r="R41" s="93">
        <f>R38/(1+R9)^13</f>
        <v>56.757156796627804</v>
      </c>
      <c r="S41" s="93">
        <f>S38/(1+R9)^14</f>
        <v>51.597415269661631</v>
      </c>
      <c r="T41" s="93">
        <f>T38/(1+R9)^15</f>
        <v>46.906741154237842</v>
      </c>
      <c r="U41" s="93">
        <f>U38/(1+R9)^16</f>
        <v>42.64249195839804</v>
      </c>
      <c r="V41" s="93">
        <f>V38/(1+R9)^17</f>
        <v>38.765901780361851</v>
      </c>
      <c r="W41" s="93">
        <f>W38/(1+R9)^18</f>
        <v>35.241728891238047</v>
      </c>
      <c r="X41" s="93">
        <f>X38/(1+R9)^19</f>
        <v>32.037935355670939</v>
      </c>
      <c r="Y41" s="93">
        <f>Y38/(1+R9)^20</f>
        <v>29.125395777882677</v>
      </c>
      <c r="Z41" s="93">
        <f>Z38/(1+R9)^21</f>
        <v>26.477632525347886</v>
      </c>
      <c r="AA41" s="93">
        <f>AA38/(1+R9)^22</f>
        <v>24.070575023043528</v>
      </c>
      <c r="AB41" s="93">
        <f>AB38/(1+R9)^23</f>
        <v>21.882340930039568</v>
      </c>
      <c r="AC41" s="93">
        <f>IF(AC19="Year 21",AC38/(1+R9)^24,"")</f>
        <v>19.893037209126884</v>
      </c>
      <c r="AD41" s="93">
        <f>IF(AD19="Year 22",AD38/(1+R9)^25,"")</f>
        <v>18.084579281024435</v>
      </c>
      <c r="AE41" s="93">
        <f>IF(AE19="Year 23",AE38/(1+R9)^26,"")</f>
        <v>16.440526619113122</v>
      </c>
      <c r="AF41" s="93">
        <f>IF(AF19="Year 24",AF38/(1+R9)^27,"")</f>
        <v>14.945933290102838</v>
      </c>
      <c r="AG41" s="93">
        <f>IF(AG19="Year 25",AG38/(1+R9)^28,"")</f>
        <v>13.58721208191167</v>
      </c>
      <c r="AH41" s="93">
        <f>IF(AH19="Year 26",AH38/(1+R9)^29,"")</f>
        <v>12.352010983556063</v>
      </c>
      <c r="AI41" s="93">
        <f>IF(AI19="Year 27",AI38/(1+R9)^30,"")</f>
        <v>11.229100894141874</v>
      </c>
      <c r="AJ41" s="93">
        <f>IF(AJ19="Year 28",AJ38/(1+R9)^31,"")</f>
        <v>10.208273540128976</v>
      </c>
      <c r="AK41" s="93">
        <f>IF(AK19="Year 29",AK38/(1+R9)^32,"")</f>
        <v>9.2802486728445235</v>
      </c>
      <c r="AL41" s="93">
        <f>IF(AL19="Year 30",AL38/(1+R9)^33,"")</f>
        <v>8.4365897025859304</v>
      </c>
      <c r="AM41" s="93">
        <f>IF(AM19="Year 31",AM38/(1+R9)^34,"")</f>
        <v>0</v>
      </c>
    </row>
    <row r="42" spans="2:40" ht="13.5" thickBot="1" x14ac:dyDescent="0.25">
      <c r="B42" s="90" t="s">
        <v>131</v>
      </c>
      <c r="C42" s="91"/>
      <c r="D42" s="91"/>
      <c r="E42" s="91"/>
      <c r="F42" s="93">
        <f>F41</f>
        <v>-365.33636363636373</v>
      </c>
      <c r="G42" s="93">
        <f t="shared" ref="G42:AB42" si="7">SUM(G41+F42)</f>
        <v>-963.15950413223163</v>
      </c>
      <c r="H42" s="93">
        <f t="shared" si="7"/>
        <v>-1325.4765589782121</v>
      </c>
      <c r="I42" s="93">
        <f t="shared" si="7"/>
        <v>-1234.4719152076032</v>
      </c>
      <c r="J42" s="93">
        <f t="shared" si="7"/>
        <v>-1132.2741649408113</v>
      </c>
      <c r="K42" s="93">
        <f t="shared" si="7"/>
        <v>-1021.6705229438414</v>
      </c>
      <c r="L42" s="93">
        <f t="shared" si="7"/>
        <v>-921.12175749205062</v>
      </c>
      <c r="M42" s="93">
        <f t="shared" si="7"/>
        <v>-829.71378889951359</v>
      </c>
      <c r="N42" s="93">
        <f t="shared" si="7"/>
        <v>-746.61563563357083</v>
      </c>
      <c r="O42" s="93">
        <f t="shared" si="7"/>
        <v>-671.07185993725921</v>
      </c>
      <c r="P42" s="93">
        <f t="shared" si="7"/>
        <v>-602.39570021333952</v>
      </c>
      <c r="Q42" s="93">
        <f t="shared" si="7"/>
        <v>-539.96282773704888</v>
      </c>
      <c r="R42" s="93">
        <f t="shared" si="7"/>
        <v>-483.2056709404211</v>
      </c>
      <c r="S42" s="93">
        <f t="shared" si="7"/>
        <v>-431.60825567075949</v>
      </c>
      <c r="T42" s="93">
        <f t="shared" si="7"/>
        <v>-384.70151451652163</v>
      </c>
      <c r="U42" s="93">
        <f t="shared" si="7"/>
        <v>-342.05902255812362</v>
      </c>
      <c r="V42" s="93">
        <f t="shared" si="7"/>
        <v>-303.29312077776177</v>
      </c>
      <c r="W42" s="93">
        <f t="shared" si="7"/>
        <v>-268.05139188652373</v>
      </c>
      <c r="X42" s="93">
        <f t="shared" si="7"/>
        <v>-236.01345653085281</v>
      </c>
      <c r="Y42" s="93">
        <f t="shared" si="7"/>
        <v>-206.88806075297012</v>
      </c>
      <c r="Z42" s="93">
        <f t="shared" si="7"/>
        <v>-180.41042822762222</v>
      </c>
      <c r="AA42" s="93">
        <f t="shared" si="7"/>
        <v>-156.3398532045787</v>
      </c>
      <c r="AB42" s="93">
        <f t="shared" si="7"/>
        <v>-134.45751227453914</v>
      </c>
      <c r="AC42" s="93">
        <f>IF(AC19="Year 21",SUM(AC41+AB42),"")</f>
        <v>-114.56447506541225</v>
      </c>
      <c r="AD42" s="93">
        <f>IF(AD19="Year 22",SUM(AD41+AC42),"")</f>
        <v>-96.479895784387821</v>
      </c>
      <c r="AE42" s="93">
        <f>IF(AE19="Year 23",SUM(AE41+AD42),"")</f>
        <v>-80.039369165274707</v>
      </c>
      <c r="AF42" s="93">
        <f>IF(AF19="Year 24",SUM(AF41+AE42),"")</f>
        <v>-65.093435875171863</v>
      </c>
      <c r="AG42" s="93">
        <f>IF(AG19="Year 25",SUM(AG41+AF42),"")</f>
        <v>-51.50622379326019</v>
      </c>
      <c r="AH42" s="93">
        <f>IF(AH19="Year 26",SUM(AH41+AG42),"")</f>
        <v>-39.154212809704127</v>
      </c>
      <c r="AI42" s="93">
        <f>IF(AI19="Year 27",SUM(AI41+AH42),"")</f>
        <v>-27.925111915562255</v>
      </c>
      <c r="AJ42" s="93">
        <f>IF(AJ19="Year 28",SUM(AJ41+AI42),"")</f>
        <v>-17.716838375433277</v>
      </c>
      <c r="AK42" s="93">
        <f>IF(AK19="Year 29",SUM(AK41+AJ42),"")</f>
        <v>-8.4365897025887531</v>
      </c>
      <c r="AL42" s="93">
        <f>IF(AL19="Year 30",SUM(AL41+AK42),"")</f>
        <v>-2.822631017806998E-12</v>
      </c>
      <c r="AM42" s="93">
        <f>IF(AM19="Year 31",SUM(AM41+AL42),"")</f>
        <v>-2.822631017806998E-12</v>
      </c>
    </row>
    <row r="43" spans="2:40" x14ac:dyDescent="0.2">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2:40" s="229" customFormat="1" x14ac:dyDescent="0.2">
      <c r="F44" s="230"/>
      <c r="G44" s="230"/>
      <c r="H44" s="230"/>
      <c r="I44" s="230"/>
      <c r="J44" s="230"/>
      <c r="K44" s="230"/>
      <c r="L44" s="230"/>
      <c r="M44" s="230"/>
      <c r="N44" s="230"/>
      <c r="O44" s="230"/>
      <c r="P44" s="230"/>
      <c r="Q44" s="230"/>
      <c r="R44" s="230"/>
      <c r="S44" s="230"/>
      <c r="T44" s="230"/>
      <c r="U44" s="230"/>
      <c r="V44" s="230"/>
      <c r="W44" s="230"/>
      <c r="X44" s="230"/>
      <c r="Y44" s="230"/>
      <c r="Z44" s="230"/>
      <c r="AA44" s="230" t="s">
        <v>203</v>
      </c>
      <c r="AB44" s="230"/>
      <c r="AC44" s="231">
        <f>SUM(AC41+AB42)</f>
        <v>-114.56447506541225</v>
      </c>
      <c r="AD44" s="231">
        <f>IF(AD41="",AC42,SUM(AD41+AC42))</f>
        <v>-96.479895784387821</v>
      </c>
      <c r="AE44" s="231">
        <f>IF(AE41="",AD44,SUM(AE41+AD44))</f>
        <v>-80.039369165274707</v>
      </c>
      <c r="AF44" s="231">
        <f>IF(AF41="",AE44,SUM(AF41+AE44))</f>
        <v>-65.093435875171863</v>
      </c>
      <c r="AG44" s="231">
        <f t="shared" ref="AG44:AN44" si="8">IF(AG41="",AF44,SUM(AG41+AF44))</f>
        <v>-51.50622379326019</v>
      </c>
      <c r="AH44" s="231">
        <f t="shared" si="8"/>
        <v>-39.154212809704127</v>
      </c>
      <c r="AI44" s="231">
        <f t="shared" si="8"/>
        <v>-27.925111915562255</v>
      </c>
      <c r="AJ44" s="231">
        <f t="shared" si="8"/>
        <v>-17.716838375433277</v>
      </c>
      <c r="AK44" s="231">
        <f t="shared" si="8"/>
        <v>-8.4365897025887531</v>
      </c>
      <c r="AL44" s="231">
        <f t="shared" si="8"/>
        <v>-2.822631017806998E-12</v>
      </c>
      <c r="AM44" s="231">
        <f t="shared" si="8"/>
        <v>-2.822631017806998E-12</v>
      </c>
      <c r="AN44" s="231">
        <f t="shared" si="8"/>
        <v>-2.822631017806998E-12</v>
      </c>
    </row>
    <row r="45" spans="2:40" x14ac:dyDescent="0.2">
      <c r="F45" s="82"/>
      <c r="G45" s="82"/>
      <c r="H45" s="87"/>
    </row>
    <row r="46" spans="2:40" x14ac:dyDescent="0.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row>
    <row r="47" spans="2:40" x14ac:dyDescent="0.2">
      <c r="I47" s="82"/>
    </row>
  </sheetData>
  <sheetProtection password="C9BE" sheet="1" objects="1" scenarios="1" selectLockedCells="1" selectUnlockedCells="1"/>
  <protectedRanges>
    <protectedRange sqref="R5" name="Range1"/>
    <protectedRange sqref="AN44" name="Range2"/>
  </protectedRanges>
  <customSheetViews>
    <customSheetView guid="{F792C52D-3F7D-4169-B87A-F2F2698FB257}" scale="75" fitToPage="1" showRuler="0">
      <pane xSplit="5" ySplit="15" topLeftCell="F16" activePane="bottomRight" state="frozen"/>
      <selection pane="bottomRight" activeCell="J54" sqref="J54"/>
      <pageMargins left="0.75" right="0.75" top="1" bottom="1" header="0.5" footer="0.5"/>
      <pageSetup paperSize="9" scale="39" orientation="landscape" r:id="rId1"/>
      <headerFooter alignWithMargins="0"/>
    </customSheetView>
  </customSheetViews>
  <mergeCells count="1">
    <mergeCell ref="F17:AG17"/>
  </mergeCells>
  <phoneticPr fontId="4" type="noConversion"/>
  <pageMargins left="0.75" right="0.75" top="1" bottom="1" header="0.5" footer="0.5"/>
  <pageSetup paperSize="9" scale="32"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AN47"/>
  <sheetViews>
    <sheetView zoomScale="75" workbookViewId="0">
      <pane xSplit="5" ySplit="15" topLeftCell="F16" activePane="bottomRight" state="frozen"/>
      <selection activeCell="E60" sqref="E60"/>
      <selection pane="topRight" activeCell="E60" sqref="E60"/>
      <selection pane="bottomLeft" activeCell="E60" sqref="E60"/>
      <selection pane="bottomRight"/>
    </sheetView>
  </sheetViews>
  <sheetFormatPr defaultRowHeight="12.75" x14ac:dyDescent="0.2"/>
  <cols>
    <col min="5" max="5" width="9.42578125" customWidth="1"/>
    <col min="6" max="7" width="10.140625" bestFit="1" customWidth="1"/>
    <col min="8" max="8" width="10.85546875" customWidth="1"/>
    <col min="9" max="9" width="11.28515625" bestFit="1" customWidth="1"/>
    <col min="10" max="10" width="10.28515625" bestFit="1" customWidth="1"/>
    <col min="11" max="11" width="9.85546875" customWidth="1"/>
    <col min="12" max="16" width="10.140625" bestFit="1" customWidth="1"/>
    <col min="17" max="17" width="13.42578125" customWidth="1"/>
    <col min="18" max="20" width="10.140625" bestFit="1" customWidth="1"/>
    <col min="21" max="33" width="9.7109375" bestFit="1" customWidth="1"/>
  </cols>
  <sheetData>
    <row r="2" spans="2:21" x14ac:dyDescent="0.2">
      <c r="E2" s="127"/>
    </row>
    <row r="4" spans="2:21" x14ac:dyDescent="0.2">
      <c r="B4" s="1" t="s">
        <v>0</v>
      </c>
      <c r="G4" s="1" t="s">
        <v>6</v>
      </c>
      <c r="I4" s="1" t="s">
        <v>12</v>
      </c>
      <c r="K4" s="1" t="s">
        <v>13</v>
      </c>
      <c r="L4" s="1" t="s">
        <v>14</v>
      </c>
      <c r="P4" s="1" t="s">
        <v>16</v>
      </c>
    </row>
    <row r="5" spans="2:21" x14ac:dyDescent="0.2">
      <c r="B5" t="s">
        <v>1</v>
      </c>
      <c r="D5" t="s">
        <v>2</v>
      </c>
      <c r="E5" s="82">
        <f>'Input Data'!AP26</f>
        <v>256.79166666666669</v>
      </c>
      <c r="G5" t="s">
        <v>7</v>
      </c>
      <c r="I5">
        <f>'Input Data'!AP60</f>
        <v>814.09999999999991</v>
      </c>
      <c r="K5" t="s">
        <v>76</v>
      </c>
      <c r="M5">
        <f>'Input Data'!AP71</f>
        <v>65</v>
      </c>
      <c r="N5" t="s">
        <v>26</v>
      </c>
      <c r="P5" t="s">
        <v>120</v>
      </c>
      <c r="R5" s="81">
        <v>5.6237720262192849E-2</v>
      </c>
      <c r="S5" t="s">
        <v>136</v>
      </c>
    </row>
    <row r="6" spans="2:21" x14ac:dyDescent="0.2">
      <c r="B6" t="s">
        <v>4</v>
      </c>
      <c r="D6" t="s">
        <v>3</v>
      </c>
      <c r="E6" s="128">
        <f>'Input Data'!AP23</f>
        <v>779.2</v>
      </c>
      <c r="G6" t="s">
        <v>8</v>
      </c>
      <c r="I6" s="125">
        <f>'Input Data'!AP65</f>
        <v>0.05</v>
      </c>
      <c r="K6" t="s">
        <v>20</v>
      </c>
      <c r="M6">
        <f>'Input Data'!AP72</f>
        <v>32.6</v>
      </c>
      <c r="N6" t="s">
        <v>135</v>
      </c>
    </row>
    <row r="7" spans="2:21" ht="15.75" x14ac:dyDescent="0.3">
      <c r="G7" t="s">
        <v>9</v>
      </c>
      <c r="I7" s="125">
        <f>'Input Data'!AP66</f>
        <v>0.1</v>
      </c>
      <c r="K7" t="s">
        <v>199</v>
      </c>
      <c r="M7" s="227">
        <f>'Input Data'!AP77</f>
        <v>0</v>
      </c>
      <c r="N7" s="223" t="s">
        <v>26</v>
      </c>
    </row>
    <row r="8" spans="2:21" x14ac:dyDescent="0.2">
      <c r="E8" s="128"/>
      <c r="G8" t="s">
        <v>10</v>
      </c>
      <c r="I8" s="126">
        <f>'Input Data'!AP64</f>
        <v>0.25</v>
      </c>
      <c r="K8" s="1" t="s">
        <v>121</v>
      </c>
      <c r="N8" s="85" t="s">
        <v>126</v>
      </c>
      <c r="P8" s="1"/>
      <c r="Q8" s="1"/>
      <c r="R8" s="98"/>
      <c r="S8" s="1"/>
      <c r="T8" s="99"/>
      <c r="U8" s="1"/>
    </row>
    <row r="9" spans="2:21" x14ac:dyDescent="0.2">
      <c r="K9" t="s">
        <v>106</v>
      </c>
      <c r="N9">
        <f>'Input Data'!AP78</f>
        <v>105</v>
      </c>
      <c r="P9" t="s">
        <v>127</v>
      </c>
      <c r="R9" s="86">
        <f>'Input Data'!AP86</f>
        <v>0.1</v>
      </c>
    </row>
    <row r="10" spans="2:21" x14ac:dyDescent="0.2">
      <c r="B10" s="179" t="str">
        <f>IF('Input Data'!AP9&gt;0.001,"Performance Data: User Adjusted","")</f>
        <v/>
      </c>
      <c r="G10" t="s">
        <v>11</v>
      </c>
      <c r="I10" s="128">
        <f>I5+(I6*I5)+(I5*I7)+(I5*I8)</f>
        <v>1139.7399999999998</v>
      </c>
      <c r="K10" t="s">
        <v>107</v>
      </c>
      <c r="N10">
        <f>'Input Data'!AP79</f>
        <v>0.05</v>
      </c>
      <c r="P10" t="s">
        <v>24</v>
      </c>
      <c r="R10" s="83">
        <f>'Input Data'!AP81</f>
        <v>0.02</v>
      </c>
      <c r="S10" t="s">
        <v>125</v>
      </c>
    </row>
    <row r="11" spans="2:21" x14ac:dyDescent="0.2">
      <c r="K11" t="s">
        <v>122</v>
      </c>
      <c r="N11" s="83">
        <f>'Input Data'!AP80</f>
        <v>0.3</v>
      </c>
    </row>
    <row r="12" spans="2:21" x14ac:dyDescent="0.2">
      <c r="K12" s="1" t="s">
        <v>133</v>
      </c>
      <c r="N12" s="272">
        <f>(N9*N10)*(1+N11)</f>
        <v>6.8250000000000002</v>
      </c>
    </row>
    <row r="13" spans="2:21" x14ac:dyDescent="0.2">
      <c r="G13" s="179" t="str">
        <f>IF('Input Data'!AP47&gt;0.001,"Capital and Cost Data: User Adjusted","")</f>
        <v/>
      </c>
      <c r="P13" s="179" t="str">
        <f>IF('Input Data'!AP83&gt;0.001,"Revenue Data: User Adjusted","")</f>
        <v/>
      </c>
    </row>
    <row r="14" spans="2:21" x14ac:dyDescent="0.2">
      <c r="G14" s="177"/>
      <c r="K14" s="179" t="str">
        <f>IF('Input Data'!AP70&gt;0.001,"Operating Data: User Adjusted","")</f>
        <v/>
      </c>
    </row>
    <row r="15" spans="2:21" x14ac:dyDescent="0.2">
      <c r="G15" s="177"/>
    </row>
    <row r="16" spans="2:21" ht="13.5" thickBot="1" x14ac:dyDescent="0.25">
      <c r="G16" s="177"/>
    </row>
    <row r="17" spans="2:39"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Data'!AM102</f>
        <v>2012</v>
      </c>
      <c r="J18" s="78">
        <f>'Input Data'!AM103</f>
        <v>2013</v>
      </c>
      <c r="K18" s="78">
        <f>'Input Data'!AM104</f>
        <v>2014</v>
      </c>
      <c r="L18" s="78">
        <f>'Input Data'!AM105</f>
        <v>2015</v>
      </c>
      <c r="M18" s="78">
        <f>'Input Data'!AM106</f>
        <v>2016</v>
      </c>
      <c r="N18" s="78">
        <f>'Input Data'!AM107</f>
        <v>2017</v>
      </c>
      <c r="O18" s="78">
        <f>'Input Data'!AM108</f>
        <v>2018</v>
      </c>
      <c r="P18" s="78">
        <f>'Input Data'!AM109</f>
        <v>2019</v>
      </c>
      <c r="Q18" s="78">
        <f>'Input Data'!AM110</f>
        <v>2020</v>
      </c>
      <c r="R18" s="78">
        <f>'Input Data'!AM111</f>
        <v>2021</v>
      </c>
      <c r="S18" s="78">
        <f>'Input Data'!AM112</f>
        <v>2022</v>
      </c>
      <c r="T18" s="78">
        <f>'Input Data'!AM113</f>
        <v>2023</v>
      </c>
      <c r="U18" s="78">
        <f>'Input Data'!AM114</f>
        <v>2024</v>
      </c>
      <c r="V18" s="78">
        <f>'Input Data'!AM115</f>
        <v>2025</v>
      </c>
      <c r="W18" s="78">
        <f>'Input Data'!AM116</f>
        <v>2026</v>
      </c>
      <c r="X18" s="78">
        <f>'Input Data'!AM117</f>
        <v>2027</v>
      </c>
      <c r="Y18" s="78">
        <f>'Input Data'!AM118</f>
        <v>2028</v>
      </c>
      <c r="Z18" s="78">
        <f>'Input Data'!AM119</f>
        <v>2029</v>
      </c>
      <c r="AA18" s="78">
        <f>'Input Data'!AM120</f>
        <v>2030</v>
      </c>
      <c r="AB18" s="78">
        <f>'Input Data'!AM121</f>
        <v>2031</v>
      </c>
      <c r="AC18" s="78">
        <f>'Input Data'!AM122</f>
        <v>2032</v>
      </c>
      <c r="AD18" s="78">
        <f>'Input Data'!AM123</f>
        <v>2033</v>
      </c>
      <c r="AE18" s="78">
        <f>'Input Data'!AM124</f>
        <v>2034</v>
      </c>
      <c r="AF18" s="78">
        <f>'Input Data'!AM125</f>
        <v>2035</v>
      </c>
      <c r="AG18" s="78">
        <f>'Input Data'!AM126</f>
        <v>2036</v>
      </c>
      <c r="AH18" s="78">
        <f>'Input Data'!AM127</f>
        <v>2037</v>
      </c>
      <c r="AI18" s="78">
        <f>'Input Data'!AM128</f>
        <v>2038</v>
      </c>
      <c r="AJ18" s="78">
        <f>'Input Data'!AM129</f>
        <v>2039</v>
      </c>
      <c r="AK18" s="78">
        <f>'Input Data'!AM130</f>
        <v>2040</v>
      </c>
      <c r="AL18" s="78">
        <f>'Input Data'!AM131</f>
        <v>2041</v>
      </c>
      <c r="AM18" s="79">
        <f>'Input Data'!AM132</f>
        <v>2042</v>
      </c>
    </row>
    <row r="19" spans="2:39" ht="22.5" customHeight="1" thickBot="1" x14ac:dyDescent="0.25">
      <c r="B19" s="1" t="s">
        <v>12</v>
      </c>
      <c r="F19" s="190" t="s">
        <v>169</v>
      </c>
      <c r="G19" s="188" t="s">
        <v>168</v>
      </c>
      <c r="H19" s="188" t="s">
        <v>167</v>
      </c>
      <c r="I19" s="188" t="str">
        <f>'Input Data'!AL102</f>
        <v>Year 1</v>
      </c>
      <c r="J19" s="188" t="str">
        <f>'Input Data'!AL103</f>
        <v>Year 2</v>
      </c>
      <c r="K19" s="188" t="str">
        <f>'Input Data'!AL104</f>
        <v>Year 3</v>
      </c>
      <c r="L19" s="188" t="str">
        <f>'Input Data'!AL105</f>
        <v>Year 4</v>
      </c>
      <c r="M19" s="188" t="str">
        <f>'Input Data'!AL106</f>
        <v>Year 5</v>
      </c>
      <c r="N19" s="188" t="str">
        <f>'Input Data'!AL107</f>
        <v>Year 6</v>
      </c>
      <c r="O19" s="188" t="str">
        <f>'Input Data'!AL108</f>
        <v>Year 7</v>
      </c>
      <c r="P19" s="188" t="str">
        <f>'Input Data'!AL109</f>
        <v>Year 8</v>
      </c>
      <c r="Q19" s="188" t="str">
        <f>'Input Data'!AL110</f>
        <v>Year 9</v>
      </c>
      <c r="R19" s="188" t="str">
        <f>'Input Data'!AL111</f>
        <v>Year 10</v>
      </c>
      <c r="S19" s="188" t="str">
        <f>'Input Data'!AL112</f>
        <v>Year 11</v>
      </c>
      <c r="T19" s="188" t="str">
        <f>'Input Data'!AL113</f>
        <v>Year 12</v>
      </c>
      <c r="U19" s="188" t="str">
        <f>'Input Data'!AL114</f>
        <v>Year 13</v>
      </c>
      <c r="V19" s="188" t="str">
        <f>'Input Data'!AL115</f>
        <v>Year 14</v>
      </c>
      <c r="W19" s="188" t="str">
        <f>'Input Data'!AL116</f>
        <v>Year 15</v>
      </c>
      <c r="X19" s="188" t="str">
        <f>'Input Data'!AL117</f>
        <v>Year 16</v>
      </c>
      <c r="Y19" s="188" t="str">
        <f>'Input Data'!AL118</f>
        <v>Year 17</v>
      </c>
      <c r="Z19" s="188" t="str">
        <f>'Input Data'!AL119</f>
        <v>Year 18</v>
      </c>
      <c r="AA19" s="188" t="str">
        <f>'Input Data'!AL120</f>
        <v>Year 19</v>
      </c>
      <c r="AB19" s="188" t="str">
        <f>'Input Data'!AL121</f>
        <v>Year 20</v>
      </c>
      <c r="AC19" s="188" t="str">
        <f>'Input Data'!AL122</f>
        <v>Year 21</v>
      </c>
      <c r="AD19" s="188" t="str">
        <f>'Input Data'!AL123</f>
        <v>Year 22</v>
      </c>
      <c r="AE19" s="188" t="str">
        <f>'Input Data'!AL124</f>
        <v>Year 23</v>
      </c>
      <c r="AF19" s="188" t="str">
        <f>'Input Data'!AL125</f>
        <v>Year 24</v>
      </c>
      <c r="AG19" s="188" t="str">
        <f>'Input Data'!AL126</f>
        <v>Year 25</v>
      </c>
      <c r="AH19" s="188" t="str">
        <f>'Input Data'!AL127</f>
        <v>Year 26</v>
      </c>
      <c r="AI19" s="188" t="str">
        <f>'Input Data'!AL128</f>
        <v>Year 27</v>
      </c>
      <c r="AJ19" s="188" t="str">
        <f>'Input Data'!AL129</f>
        <v>Year 28</v>
      </c>
      <c r="AK19" s="188" t="str">
        <f>'Input Data'!AL130</f>
        <v>Year 29</v>
      </c>
      <c r="AL19" s="188" t="str">
        <f>'Input Data'!AL131</f>
        <v>Year 30</v>
      </c>
      <c r="AM19" s="189" t="str">
        <f>'Input Data'!AL132</f>
        <v>Year 31</v>
      </c>
    </row>
    <row r="21" spans="2:39" x14ac:dyDescent="0.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9" x14ac:dyDescent="0.2">
      <c r="B22" s="1" t="s">
        <v>161</v>
      </c>
      <c r="F22" s="80"/>
      <c r="G22" s="80"/>
      <c r="H22" s="80"/>
      <c r="I22" s="80">
        <f>'Input Data'!AN102</f>
        <v>1</v>
      </c>
      <c r="J22" s="80">
        <f>'Input Data'!AN103</f>
        <v>1</v>
      </c>
      <c r="K22" s="80">
        <f>'Input Data'!AN104</f>
        <v>1</v>
      </c>
      <c r="L22" s="80">
        <f>'Input Data'!AN105</f>
        <v>1</v>
      </c>
      <c r="M22" s="80">
        <f>'Input Data'!AN106</f>
        <v>1</v>
      </c>
      <c r="N22" s="80">
        <f>'Input Data'!AN107</f>
        <v>1</v>
      </c>
      <c r="O22" s="80">
        <f>'Input Data'!AN108</f>
        <v>1</v>
      </c>
      <c r="P22" s="80">
        <f>'Input Data'!AN109</f>
        <v>1</v>
      </c>
      <c r="Q22" s="80">
        <f>'Input Data'!AN110</f>
        <v>1</v>
      </c>
      <c r="R22" s="80">
        <f>'Input Data'!AN111</f>
        <v>1</v>
      </c>
      <c r="S22" s="80">
        <f>'Input Data'!AN112</f>
        <v>1</v>
      </c>
      <c r="T22" s="80">
        <f>'Input Data'!AN113</f>
        <v>1</v>
      </c>
      <c r="U22" s="80">
        <f>'Input Data'!AN114</f>
        <v>1</v>
      </c>
      <c r="V22" s="80">
        <f>'Input Data'!AN115</f>
        <v>1</v>
      </c>
      <c r="W22" s="80">
        <f>'Input Data'!AN116</f>
        <v>1</v>
      </c>
      <c r="X22" s="80">
        <f>'Input Data'!AN117</f>
        <v>1</v>
      </c>
      <c r="Y22" s="80">
        <f>'Input Data'!AN118</f>
        <v>1</v>
      </c>
      <c r="Z22" s="80">
        <f>'Input Data'!AN119</f>
        <v>1</v>
      </c>
      <c r="AA22" s="80">
        <f>'Input Data'!AN120</f>
        <v>1</v>
      </c>
      <c r="AB22" s="80">
        <f>'Input Data'!AN121</f>
        <v>1</v>
      </c>
      <c r="AC22" s="80">
        <f>IF('Input Data'!AP89&gt;20,'Input Data'!AN122,"")</f>
        <v>1</v>
      </c>
      <c r="AD22" s="80">
        <f>IF(AD19="Year 22",'Input Data'!AN123,"")</f>
        <v>1</v>
      </c>
      <c r="AE22" s="80">
        <f>IF(AE19="Year 23",'Input Data'!AN124,"")</f>
        <v>1</v>
      </c>
      <c r="AF22" s="80">
        <f>IF(AF19="Year 24",'Input Data'!AN125,"")</f>
        <v>1</v>
      </c>
      <c r="AG22" s="80">
        <f>IF(AG19="Year 25",'Input Data'!AN126,"")</f>
        <v>1</v>
      </c>
      <c r="AH22" s="80">
        <f>IF('Input Data'!AP89&gt;25,'Input Data'!AN127,"")</f>
        <v>1</v>
      </c>
      <c r="AI22" s="80">
        <f>IF(AI19="Year 27",'Input Data'!AN128,"")</f>
        <v>1</v>
      </c>
      <c r="AJ22" s="80">
        <f>IF(AJ19="Year 28",'Input Data'!AN129,"")</f>
        <v>1</v>
      </c>
      <c r="AK22" s="80">
        <f>IF(AK19="Year 29",'Input Data'!AN130,"")</f>
        <v>1</v>
      </c>
      <c r="AL22" s="80">
        <f>IF(AL19="Year 30",'Input Data'!AN131,"")</f>
        <v>1</v>
      </c>
      <c r="AM22" s="80" t="str">
        <f>IF('Input Data'!AP89&gt;30,'Input Data'!AN132,"")</f>
        <v/>
      </c>
    </row>
    <row r="23" spans="2:39" x14ac:dyDescent="0.2">
      <c r="B23" s="1" t="s">
        <v>139</v>
      </c>
      <c r="F23" s="80"/>
      <c r="G23" s="80"/>
      <c r="H23" s="80"/>
      <c r="I23" s="80">
        <f>'Input Data'!AO102</f>
        <v>0.65</v>
      </c>
      <c r="J23" s="80">
        <f>'Input Data'!AO103</f>
        <v>0.75</v>
      </c>
      <c r="K23" s="80">
        <f>'Input Data'!AO104</f>
        <v>0.85</v>
      </c>
      <c r="L23" s="80">
        <f>'Input Data'!AO105</f>
        <v>0.85</v>
      </c>
      <c r="M23" s="80">
        <f>'Input Data'!AO106</f>
        <v>0.85</v>
      </c>
      <c r="N23" s="80">
        <f>'Input Data'!AO107</f>
        <v>0.85</v>
      </c>
      <c r="O23" s="80">
        <f>'Input Data'!AO108</f>
        <v>0.85</v>
      </c>
      <c r="P23" s="80">
        <f>'Input Data'!AO109</f>
        <v>0.85</v>
      </c>
      <c r="Q23" s="80">
        <f>'Input Data'!AO110</f>
        <v>0.85</v>
      </c>
      <c r="R23" s="80">
        <f>'Input Data'!AO111</f>
        <v>0.85</v>
      </c>
      <c r="S23" s="80">
        <f>'Input Data'!AO112</f>
        <v>0.85</v>
      </c>
      <c r="T23" s="80">
        <f>'Input Data'!AO113</f>
        <v>0.85</v>
      </c>
      <c r="U23" s="80">
        <f>'Input Data'!AO114</f>
        <v>0.85</v>
      </c>
      <c r="V23" s="80">
        <f>'Input Data'!AO115</f>
        <v>0.85</v>
      </c>
      <c r="W23" s="80">
        <f>'Input Data'!AO116</f>
        <v>0.85</v>
      </c>
      <c r="X23" s="80">
        <f>'Input Data'!AO117</f>
        <v>0.85</v>
      </c>
      <c r="Y23" s="80">
        <f>'Input Data'!AO118</f>
        <v>0.85</v>
      </c>
      <c r="Z23" s="80">
        <f>'Input Data'!AO119</f>
        <v>0.85</v>
      </c>
      <c r="AA23" s="80">
        <f>'Input Data'!AO120</f>
        <v>0.85</v>
      </c>
      <c r="AB23" s="80">
        <f>'Input Data'!AO121</f>
        <v>0.85</v>
      </c>
      <c r="AC23" s="80">
        <f>IF('Input Data'!AP89&gt;20,'Input Data'!AO122,"")</f>
        <v>0.85</v>
      </c>
      <c r="AD23" s="80">
        <f>IF(AD19="Year 22",'Input Data'!AO123,"")</f>
        <v>0.85</v>
      </c>
      <c r="AE23" s="80">
        <f>IF(AE19="Year 23",'Input Data'!AO124,"")</f>
        <v>0.85</v>
      </c>
      <c r="AF23" s="80">
        <f>IF(AF19="Year 24",'Input Data'!AO125,"")</f>
        <v>0.85</v>
      </c>
      <c r="AG23" s="80">
        <f>IF(AG19="Year 25",'Input Data'!AO126,"")</f>
        <v>0.85</v>
      </c>
      <c r="AH23" s="80">
        <f>IF('Input Data'!AP89&gt;25,'Input Data'!AO127,"")</f>
        <v>0.85</v>
      </c>
      <c r="AI23" s="80">
        <f>IF(AI19="Year 27",'Input Data'!AO128,"")</f>
        <v>0.85</v>
      </c>
      <c r="AJ23" s="80">
        <f>IF(AJ19="Year 28",'Input Data'!AO129,"")</f>
        <v>0.85</v>
      </c>
      <c r="AK23" s="80">
        <f>IF(AK19="Year 29",'Input Data'!AO130,"")</f>
        <v>0.85</v>
      </c>
      <c r="AL23" s="80">
        <f>IF(AL19="Year 30",'Input Data'!AO131,"")</f>
        <v>0.85</v>
      </c>
      <c r="AM23" s="80" t="str">
        <f>IF('Input Data'!AP89&gt;30,'Input Data'!AO132,"")</f>
        <v/>
      </c>
    </row>
    <row r="24" spans="2:39" x14ac:dyDescent="0.2">
      <c r="B24" s="2" t="s">
        <v>162</v>
      </c>
      <c r="F24" s="3"/>
      <c r="G24" s="3"/>
      <c r="H24" s="3"/>
      <c r="I24" s="101">
        <f>I22*8760*I23</f>
        <v>5694</v>
      </c>
      <c r="J24" s="101">
        <f t="shared" ref="J24:AB24" si="0">J22*8760*J23</f>
        <v>6570</v>
      </c>
      <c r="K24" s="101">
        <f t="shared" si="0"/>
        <v>7446</v>
      </c>
      <c r="L24" s="101">
        <f t="shared" si="0"/>
        <v>7446</v>
      </c>
      <c r="M24" s="101">
        <f t="shared" si="0"/>
        <v>7446</v>
      </c>
      <c r="N24" s="101">
        <f t="shared" si="0"/>
        <v>7446</v>
      </c>
      <c r="O24" s="101">
        <f t="shared" si="0"/>
        <v>7446</v>
      </c>
      <c r="P24" s="101">
        <f t="shared" si="0"/>
        <v>7446</v>
      </c>
      <c r="Q24" s="101">
        <f t="shared" si="0"/>
        <v>7446</v>
      </c>
      <c r="R24" s="101">
        <f t="shared" si="0"/>
        <v>7446</v>
      </c>
      <c r="S24" s="101">
        <f t="shared" si="0"/>
        <v>7446</v>
      </c>
      <c r="T24" s="101">
        <f t="shared" si="0"/>
        <v>7446</v>
      </c>
      <c r="U24" s="101">
        <f t="shared" si="0"/>
        <v>7446</v>
      </c>
      <c r="V24" s="101">
        <f t="shared" si="0"/>
        <v>7446</v>
      </c>
      <c r="W24" s="101">
        <f t="shared" si="0"/>
        <v>7446</v>
      </c>
      <c r="X24" s="101">
        <f t="shared" si="0"/>
        <v>7446</v>
      </c>
      <c r="Y24" s="101">
        <f t="shared" si="0"/>
        <v>7446</v>
      </c>
      <c r="Z24" s="101">
        <f t="shared" si="0"/>
        <v>7446</v>
      </c>
      <c r="AA24" s="101">
        <f t="shared" si="0"/>
        <v>7446</v>
      </c>
      <c r="AB24" s="101">
        <f t="shared" si="0"/>
        <v>7446</v>
      </c>
      <c r="AC24" s="101">
        <f>IF('Input Data'!AP89&gt;20, AC22*8760*AC23,"")</f>
        <v>7446</v>
      </c>
      <c r="AD24" s="101">
        <f>IF(AD19="Year 22",AD22*8760*AD23,"")</f>
        <v>7446</v>
      </c>
      <c r="AE24" s="101">
        <f>IF(AE19="Year 23",AE22*8760*AE23,"")</f>
        <v>7446</v>
      </c>
      <c r="AF24" s="101">
        <f>IF(AF19="Year 24",AF22*8760*AF23,"")</f>
        <v>7446</v>
      </c>
      <c r="AG24" s="101">
        <f>IF(AG19="Year 25",AG22*8760*AG23,"")</f>
        <v>7446</v>
      </c>
      <c r="AH24" s="101">
        <f>IF('Input Data'!AP89&gt;25,AH22*8760*AH23,"")</f>
        <v>7446</v>
      </c>
      <c r="AI24" s="101">
        <f>IF(AI19="Year 27",AI22*8760*AI23,"")</f>
        <v>7446</v>
      </c>
      <c r="AJ24" s="101">
        <f>IF(AJ19="Year 28",AJ22*8760*AJ23,"")</f>
        <v>7446</v>
      </c>
      <c r="AK24" s="101">
        <f>IF(AK19="Year 29",AK22*8760*AK23,"")</f>
        <v>7446</v>
      </c>
      <c r="AL24" s="101">
        <f>IF(AL19="Year 30",AL22*8760*AL23,"")</f>
        <v>7446</v>
      </c>
      <c r="AM24" s="101" t="str">
        <f>IF('Input Data'!AP89&gt;30,AM22*8760*AM23,"")</f>
        <v/>
      </c>
    </row>
    <row r="25" spans="2:39" x14ac:dyDescent="0.2">
      <c r="B25" s="1" t="s">
        <v>15</v>
      </c>
      <c r="F25" s="80">
        <f>'Input Data'!AP96</f>
        <v>0.25</v>
      </c>
      <c r="G25" s="80">
        <f>'Input Data'!AP97</f>
        <v>0.45</v>
      </c>
      <c r="H25" s="80">
        <f>'Input Data'!AP98</f>
        <v>0.3</v>
      </c>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9" x14ac:dyDescent="0.2">
      <c r="B26" s="1" t="s">
        <v>16</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2:39" x14ac:dyDescent="0.2">
      <c r="B27" s="2" t="s">
        <v>17</v>
      </c>
      <c r="F27" s="3"/>
      <c r="G27" s="3"/>
      <c r="H27" s="3"/>
      <c r="I27" s="87">
        <f t="shared" ref="I27:AB27" si="1">$E$6*I24*$R$5/1000</f>
        <v>249.51353769154397</v>
      </c>
      <c r="J27" s="87">
        <f t="shared" si="1"/>
        <v>287.90023579793541</v>
      </c>
      <c r="K27" s="87">
        <f t="shared" si="1"/>
        <v>326.28693390432676</v>
      </c>
      <c r="L27" s="87">
        <f t="shared" si="1"/>
        <v>326.28693390432676</v>
      </c>
      <c r="M27" s="87">
        <f t="shared" si="1"/>
        <v>326.28693390432676</v>
      </c>
      <c r="N27" s="87">
        <f t="shared" si="1"/>
        <v>326.28693390432676</v>
      </c>
      <c r="O27" s="87">
        <f t="shared" si="1"/>
        <v>326.28693390432676</v>
      </c>
      <c r="P27" s="87">
        <f t="shared" si="1"/>
        <v>326.28693390432676</v>
      </c>
      <c r="Q27" s="87">
        <f t="shared" si="1"/>
        <v>326.28693390432676</v>
      </c>
      <c r="R27" s="87">
        <f t="shared" si="1"/>
        <v>326.28693390432676</v>
      </c>
      <c r="S27" s="87">
        <f t="shared" si="1"/>
        <v>326.28693390432676</v>
      </c>
      <c r="T27" s="87">
        <f t="shared" si="1"/>
        <v>326.28693390432676</v>
      </c>
      <c r="U27" s="87">
        <f t="shared" si="1"/>
        <v>326.28693390432676</v>
      </c>
      <c r="V27" s="87">
        <f t="shared" si="1"/>
        <v>326.28693390432676</v>
      </c>
      <c r="W27" s="87">
        <f t="shared" si="1"/>
        <v>326.28693390432676</v>
      </c>
      <c r="X27" s="87">
        <f t="shared" si="1"/>
        <v>326.28693390432676</v>
      </c>
      <c r="Y27" s="87">
        <f t="shared" si="1"/>
        <v>326.28693390432676</v>
      </c>
      <c r="Z27" s="87">
        <f t="shared" si="1"/>
        <v>326.28693390432676</v>
      </c>
      <c r="AA27" s="87">
        <f t="shared" si="1"/>
        <v>326.28693390432676</v>
      </c>
      <c r="AB27" s="87">
        <f t="shared" si="1"/>
        <v>326.28693390432676</v>
      </c>
      <c r="AC27" s="87">
        <f>IF('Input Data'!AP89&gt;20,$E$6*AC24*$R$5/1000,"")</f>
        <v>326.28693390432676</v>
      </c>
      <c r="AD27" s="87">
        <f>IF(AD19="Year 22",$E$6*AD24*$R$5/1000,"")</f>
        <v>326.28693390432676</v>
      </c>
      <c r="AE27" s="87">
        <f>IF(AE19="Year 23",$E$6*AE24*$R$5/1000,"")</f>
        <v>326.28693390432676</v>
      </c>
      <c r="AF27" s="87">
        <f>IF(AF19="Year 24",$E$6*AF24*$R$5/1000,"")</f>
        <v>326.28693390432676</v>
      </c>
      <c r="AG27" s="87">
        <f>IF(AG19="Year 25",$E$6*AG24*$R$5/1000,"")</f>
        <v>326.28693390432676</v>
      </c>
      <c r="AH27" s="87">
        <f>IF('Input Data'!AP89&gt;25,$E$6*AH24*$R$5/1000,"")</f>
        <v>326.28693390432676</v>
      </c>
      <c r="AI27" s="87">
        <f>IF(AI19="Year 27",$E$6*AI24*$R$5/1000,"")</f>
        <v>326.28693390432676</v>
      </c>
      <c r="AJ27" s="87">
        <f>IF(AJ19="Year 28",$E$6*AJ24*$R$5/1000,"")</f>
        <v>326.28693390432676</v>
      </c>
      <c r="AK27" s="87">
        <f>IF(AK19="Year 29",$E$6*AK24*$R$5/1000,"")</f>
        <v>326.28693390432676</v>
      </c>
      <c r="AL27" s="87">
        <f>IF(AL19="Year 30",$E$6*AL24*$R$5/1000,"")</f>
        <v>326.28693390432676</v>
      </c>
      <c r="AM27" s="87" t="str">
        <f>IF('Input Data'!AP89&gt;30,$E$6*AM24*$R$5/1000,"")</f>
        <v/>
      </c>
    </row>
    <row r="28" spans="2:39" x14ac:dyDescent="0.2">
      <c r="B28" s="1" t="s">
        <v>19</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2:39" x14ac:dyDescent="0.2">
      <c r="B29" s="2" t="s">
        <v>157</v>
      </c>
      <c r="F29" s="3"/>
      <c r="G29" s="3"/>
      <c r="H29" s="3"/>
      <c r="I29" s="88">
        <f>$M$5*$E$5*I24/1000000</f>
        <v>95.04116375000001</v>
      </c>
      <c r="J29" s="88">
        <f t="shared" ref="J29:AB29" si="2">$M$5*$E$5*J24/1000000</f>
        <v>109.66288125000001</v>
      </c>
      <c r="K29" s="88">
        <f t="shared" si="2"/>
        <v>124.28459875000001</v>
      </c>
      <c r="L29" s="88">
        <f t="shared" si="2"/>
        <v>124.28459875000001</v>
      </c>
      <c r="M29" s="88">
        <f t="shared" si="2"/>
        <v>124.28459875000001</v>
      </c>
      <c r="N29" s="88">
        <f t="shared" si="2"/>
        <v>124.28459875000001</v>
      </c>
      <c r="O29" s="88">
        <f t="shared" si="2"/>
        <v>124.28459875000001</v>
      </c>
      <c r="P29" s="88">
        <f t="shared" si="2"/>
        <v>124.28459875000001</v>
      </c>
      <c r="Q29" s="88">
        <f t="shared" si="2"/>
        <v>124.28459875000001</v>
      </c>
      <c r="R29" s="88">
        <f t="shared" si="2"/>
        <v>124.28459875000001</v>
      </c>
      <c r="S29" s="88">
        <f t="shared" si="2"/>
        <v>124.28459875000001</v>
      </c>
      <c r="T29" s="88">
        <f t="shared" si="2"/>
        <v>124.28459875000001</v>
      </c>
      <c r="U29" s="88">
        <f t="shared" si="2"/>
        <v>124.28459875000001</v>
      </c>
      <c r="V29" s="88">
        <f t="shared" si="2"/>
        <v>124.28459875000001</v>
      </c>
      <c r="W29" s="88">
        <f t="shared" si="2"/>
        <v>124.28459875000001</v>
      </c>
      <c r="X29" s="88">
        <f t="shared" si="2"/>
        <v>124.28459875000001</v>
      </c>
      <c r="Y29" s="88">
        <f t="shared" si="2"/>
        <v>124.28459875000001</v>
      </c>
      <c r="Z29" s="88">
        <f t="shared" si="2"/>
        <v>124.28459875000001</v>
      </c>
      <c r="AA29" s="88">
        <f t="shared" si="2"/>
        <v>124.28459875000001</v>
      </c>
      <c r="AB29" s="88">
        <f t="shared" si="2"/>
        <v>124.28459875000001</v>
      </c>
      <c r="AC29" s="88">
        <f>IF('Input Data'!AP89&gt;20,$M$5*$E$5*AC24/1000000,"")</f>
        <v>124.28459875000001</v>
      </c>
      <c r="AD29" s="88">
        <f>IF(AD19="Year 22",$M$5*$E$5*AD24/1000000,"")</f>
        <v>124.28459875000001</v>
      </c>
      <c r="AE29" s="88">
        <f>IF(AE19="Year 23",$M$5*$E$5*AE24/1000000,"")</f>
        <v>124.28459875000001</v>
      </c>
      <c r="AF29" s="88">
        <f>IF(AF19="Year 24",$M$5*$E$5*AF24/1000000,"")</f>
        <v>124.28459875000001</v>
      </c>
      <c r="AG29" s="88">
        <f>IF(AG19="Year 25",$M$5*$E$5*AG24/1000000,"")</f>
        <v>124.28459875000001</v>
      </c>
      <c r="AH29" s="88">
        <f>IF('Input Data'!AP89&gt;25,$M$5*$E$5*AH24/1000000,"")</f>
        <v>124.28459875000001</v>
      </c>
      <c r="AI29" s="88">
        <f>IF(AI19="Year 27",$M$5*$E$5*AI24/1000000,"")</f>
        <v>124.28459875000001</v>
      </c>
      <c r="AJ29" s="88">
        <f>IF(AJ19="Year 28",$M$5*$E$5*AJ24/1000000,"")</f>
        <v>124.28459875000001</v>
      </c>
      <c r="AK29" s="88">
        <f>IF(AK19="Year 29",$M$5*$E$5*AK24/1000000,"")</f>
        <v>124.28459875000001</v>
      </c>
      <c r="AL29" s="88">
        <f>IF(AL19="Year 30",$M$5*$E$5*AL24/1000000,"")</f>
        <v>124.28459875000001</v>
      </c>
      <c r="AM29" s="88" t="str">
        <f>IF('Input Data'!AP89&gt;30,$M$5*$E$5*AM24/1000000,"")</f>
        <v/>
      </c>
    </row>
    <row r="30" spans="2:39" x14ac:dyDescent="0.2">
      <c r="B30" s="2" t="s">
        <v>20</v>
      </c>
      <c r="F30" s="3"/>
      <c r="G30" s="3"/>
      <c r="H30" s="3"/>
      <c r="I30" s="88">
        <f t="shared" ref="I30:AB30" si="3">$M$6</f>
        <v>32.6</v>
      </c>
      <c r="J30" s="88">
        <f t="shared" si="3"/>
        <v>32.6</v>
      </c>
      <c r="K30" s="88">
        <f t="shared" si="3"/>
        <v>32.6</v>
      </c>
      <c r="L30" s="88">
        <f t="shared" si="3"/>
        <v>32.6</v>
      </c>
      <c r="M30" s="88">
        <f t="shared" si="3"/>
        <v>32.6</v>
      </c>
      <c r="N30" s="88">
        <f t="shared" si="3"/>
        <v>32.6</v>
      </c>
      <c r="O30" s="88">
        <f t="shared" si="3"/>
        <v>32.6</v>
      </c>
      <c r="P30" s="88">
        <f t="shared" si="3"/>
        <v>32.6</v>
      </c>
      <c r="Q30" s="88">
        <f t="shared" si="3"/>
        <v>32.6</v>
      </c>
      <c r="R30" s="88">
        <f t="shared" si="3"/>
        <v>32.6</v>
      </c>
      <c r="S30" s="88">
        <f t="shared" si="3"/>
        <v>32.6</v>
      </c>
      <c r="T30" s="88">
        <f t="shared" si="3"/>
        <v>32.6</v>
      </c>
      <c r="U30" s="88">
        <f t="shared" si="3"/>
        <v>32.6</v>
      </c>
      <c r="V30" s="88">
        <f t="shared" si="3"/>
        <v>32.6</v>
      </c>
      <c r="W30" s="88">
        <f t="shared" si="3"/>
        <v>32.6</v>
      </c>
      <c r="X30" s="88">
        <f t="shared" si="3"/>
        <v>32.6</v>
      </c>
      <c r="Y30" s="88">
        <f t="shared" si="3"/>
        <v>32.6</v>
      </c>
      <c r="Z30" s="88">
        <f t="shared" si="3"/>
        <v>32.6</v>
      </c>
      <c r="AA30" s="88">
        <f t="shared" si="3"/>
        <v>32.6</v>
      </c>
      <c r="AB30" s="88">
        <f t="shared" si="3"/>
        <v>32.6</v>
      </c>
      <c r="AC30" s="88">
        <f>IF('Input Data'!AP89&gt;20,$M$6,"")</f>
        <v>32.6</v>
      </c>
      <c r="AD30" s="88">
        <f>IF(AD19="Year 22",$M$6,"")</f>
        <v>32.6</v>
      </c>
      <c r="AE30" s="88">
        <f>IF(AE19="Year 23",$M$6,"")</f>
        <v>32.6</v>
      </c>
      <c r="AF30" s="88">
        <f>IF(AF19="Year 24",$M$6,"")</f>
        <v>32.6</v>
      </c>
      <c r="AG30" s="88">
        <f>IF(AG19="Year 25",$M$6,"")</f>
        <v>32.6</v>
      </c>
      <c r="AH30" s="88">
        <f>IF('Input Data'!AP89&gt;25,$M$6,"")</f>
        <v>32.6</v>
      </c>
      <c r="AI30" s="88">
        <f>IF(AI19="Year 27",$M$6,"")</f>
        <v>32.6</v>
      </c>
      <c r="AJ30" s="88">
        <f>IF(AJ19="Year 28",$M$6,"")</f>
        <v>32.6</v>
      </c>
      <c r="AK30" s="88">
        <f>IF(AK19="Year 29",$M$6,"")</f>
        <v>32.6</v>
      </c>
      <c r="AL30" s="88">
        <f>IF(AL19="Year 30",$M$6,"")</f>
        <v>32.6</v>
      </c>
      <c r="AM30" s="88" t="str">
        <f>IF('Input Data'!AP89&gt;30,$M$6,"")</f>
        <v/>
      </c>
    </row>
    <row r="31" spans="2:39" x14ac:dyDescent="0.2">
      <c r="B31" s="2" t="s">
        <v>21</v>
      </c>
      <c r="F31" s="3"/>
      <c r="G31" s="3"/>
      <c r="H31" s="3"/>
      <c r="I31" s="88">
        <f t="shared" ref="I31:AB31" si="4">$N$12</f>
        <v>6.8250000000000002</v>
      </c>
      <c r="J31" s="88">
        <f t="shared" si="4"/>
        <v>6.8250000000000002</v>
      </c>
      <c r="K31" s="88">
        <f t="shared" si="4"/>
        <v>6.8250000000000002</v>
      </c>
      <c r="L31" s="88">
        <f t="shared" si="4"/>
        <v>6.8250000000000002</v>
      </c>
      <c r="M31" s="88">
        <f t="shared" si="4"/>
        <v>6.8250000000000002</v>
      </c>
      <c r="N31" s="88">
        <f t="shared" si="4"/>
        <v>6.8250000000000002</v>
      </c>
      <c r="O31" s="88">
        <f t="shared" si="4"/>
        <v>6.8250000000000002</v>
      </c>
      <c r="P31" s="88">
        <f t="shared" si="4"/>
        <v>6.8250000000000002</v>
      </c>
      <c r="Q31" s="88">
        <f t="shared" si="4"/>
        <v>6.8250000000000002</v>
      </c>
      <c r="R31" s="88">
        <f t="shared" si="4"/>
        <v>6.8250000000000002</v>
      </c>
      <c r="S31" s="88">
        <f t="shared" si="4"/>
        <v>6.8250000000000002</v>
      </c>
      <c r="T31" s="88">
        <f t="shared" si="4"/>
        <v>6.8250000000000002</v>
      </c>
      <c r="U31" s="88">
        <f t="shared" si="4"/>
        <v>6.8250000000000002</v>
      </c>
      <c r="V31" s="88">
        <f t="shared" si="4"/>
        <v>6.8250000000000002</v>
      </c>
      <c r="W31" s="88">
        <f t="shared" si="4"/>
        <v>6.8250000000000002</v>
      </c>
      <c r="X31" s="88">
        <f t="shared" si="4"/>
        <v>6.8250000000000002</v>
      </c>
      <c r="Y31" s="88">
        <f t="shared" si="4"/>
        <v>6.8250000000000002</v>
      </c>
      <c r="Z31" s="88">
        <f t="shared" si="4"/>
        <v>6.8250000000000002</v>
      </c>
      <c r="AA31" s="88">
        <f t="shared" si="4"/>
        <v>6.8250000000000002</v>
      </c>
      <c r="AB31" s="88">
        <f t="shared" si="4"/>
        <v>6.8250000000000002</v>
      </c>
      <c r="AC31" s="88">
        <f>IF('Input Data'!AP89&gt;20,$N$12,"")</f>
        <v>6.8250000000000002</v>
      </c>
      <c r="AD31" s="88">
        <f>IF(AD19="Year 22",$N$12,"")</f>
        <v>6.8250000000000002</v>
      </c>
      <c r="AE31" s="88">
        <f>IF(AE19="Year 23",$N$12,"")</f>
        <v>6.8250000000000002</v>
      </c>
      <c r="AF31" s="88">
        <f>IF(AF19="Year 24",$N$12,"")</f>
        <v>6.8250000000000002</v>
      </c>
      <c r="AG31" s="88">
        <f>IF(AG19="Year 25",$N$12,"")</f>
        <v>6.8250000000000002</v>
      </c>
      <c r="AH31" s="88">
        <f>IF('Input Data'!AP89&gt;25,$N$12,"")</f>
        <v>6.8250000000000002</v>
      </c>
      <c r="AI31" s="88">
        <f>IF(AI19="Year 27",$N$12,"")</f>
        <v>6.8250000000000002</v>
      </c>
      <c r="AJ31" s="88">
        <f>IF(AJ19="Year 28",$N$12,"")</f>
        <v>6.8250000000000002</v>
      </c>
      <c r="AK31" s="88">
        <f>IF(AK19="Year 29",$N$12,"")</f>
        <v>6.8250000000000002</v>
      </c>
      <c r="AL31" s="88">
        <f>IF(AL19="Year 30",$N$12,"")</f>
        <v>6.8250000000000002</v>
      </c>
      <c r="AM31" s="88" t="str">
        <f>IF('Input Data'!AP89&gt;30,$N$12,"")</f>
        <v/>
      </c>
    </row>
    <row r="32" spans="2:39" x14ac:dyDescent="0.2">
      <c r="B32" s="2" t="s">
        <v>22</v>
      </c>
      <c r="F32" s="3"/>
      <c r="G32" s="3"/>
      <c r="H32" s="3"/>
      <c r="I32" s="88">
        <f>I22*I23*'Input Data'!$AP$74/0.85</f>
        <v>4.3588235294117652</v>
      </c>
      <c r="J32" s="88">
        <f>J22*J23*'Input Data'!$AP$74/0.85</f>
        <v>5.0294117647058831</v>
      </c>
      <c r="K32" s="88">
        <f>K22*K23*'Input Data'!$AP$74/0.85</f>
        <v>5.7</v>
      </c>
      <c r="L32" s="88">
        <f>L22*L23*'Input Data'!$AP$74/0.85</f>
        <v>5.7</v>
      </c>
      <c r="M32" s="88">
        <f>M22*M23*'Input Data'!$AP$74/0.85</f>
        <v>5.7</v>
      </c>
      <c r="N32" s="88">
        <f>N22*N23*'Input Data'!$AP$74/0.85</f>
        <v>5.7</v>
      </c>
      <c r="O32" s="88">
        <f>O22*O23*'Input Data'!$AP$74/0.85</f>
        <v>5.7</v>
      </c>
      <c r="P32" s="88">
        <f>P22*P23*'Input Data'!$AP$74/0.85</f>
        <v>5.7</v>
      </c>
      <c r="Q32" s="88">
        <f>Q22*Q23*'Input Data'!$AP$74/0.85</f>
        <v>5.7</v>
      </c>
      <c r="R32" s="88">
        <f>R22*R23*'Input Data'!$AP$74/0.85</f>
        <v>5.7</v>
      </c>
      <c r="S32" s="88">
        <f>S22*S23*'Input Data'!$AP$74/0.85</f>
        <v>5.7</v>
      </c>
      <c r="T32" s="88">
        <f>T22*T23*'Input Data'!$AP$74/0.85</f>
        <v>5.7</v>
      </c>
      <c r="U32" s="88">
        <f>U22*U23*'Input Data'!$AP$74/0.85</f>
        <v>5.7</v>
      </c>
      <c r="V32" s="88">
        <f>V22*V23*'Input Data'!$AP$74/0.85</f>
        <v>5.7</v>
      </c>
      <c r="W32" s="88">
        <f>W22*W23*'Input Data'!$AP$74/0.85</f>
        <v>5.7</v>
      </c>
      <c r="X32" s="88">
        <f>X22*X23*'Input Data'!$AP$74/0.85</f>
        <v>5.7</v>
      </c>
      <c r="Y32" s="88">
        <f>Y22*Y23*'Input Data'!$AP$74/0.85</f>
        <v>5.7</v>
      </c>
      <c r="Z32" s="88">
        <f>Z22*Z23*'Input Data'!$AP$74/0.85</f>
        <v>5.7</v>
      </c>
      <c r="AA32" s="88">
        <f>AA22*AA23*'Input Data'!$AP$74/0.85</f>
        <v>5.7</v>
      </c>
      <c r="AB32" s="88">
        <f>IF(AB19="Year 20",AB22*AB23*'Input Data'!$AP$74/0.85,"")</f>
        <v>5.7</v>
      </c>
      <c r="AC32" s="88">
        <f>IF('Input Data'!AP89&gt;20,AC22*AC23*'Input Data'!$AP$74/0.85,"")</f>
        <v>5.7</v>
      </c>
      <c r="AD32" s="88">
        <f>IF(AD19="Year 22",AD22*AD23*'Input Data'!$AP$74/0.85,"")</f>
        <v>5.7</v>
      </c>
      <c r="AE32" s="88">
        <f>IF(AE19="Year 23",AE22*AE23*'Input Data'!$AP$74/0.85,"")</f>
        <v>5.7</v>
      </c>
      <c r="AF32" s="88">
        <f>IF(AF19="Year 24",AF22*AF23*'Input Data'!$AP$74/0.85,"")</f>
        <v>5.7</v>
      </c>
      <c r="AG32" s="88">
        <f>IF(AG19="Year 25",AG22*AG23*'Input Data'!$AP$74/0.85,"")</f>
        <v>5.7</v>
      </c>
      <c r="AH32" s="88">
        <f>IF('Input Data'!AP89&gt;25,AH22*AH23*'Input Data'!$AP$74/0.85,"")</f>
        <v>5.7</v>
      </c>
      <c r="AI32" s="88">
        <f>IF(AI19="Year 27",AI22*AI23*'Input Data'!$AP$74/0.85,"")</f>
        <v>5.7</v>
      </c>
      <c r="AJ32" s="88">
        <f>IF(AJ19="Year 28",AJ22*AJ23*'Input Data'!$AP$74/0.85,"")</f>
        <v>5.7</v>
      </c>
      <c r="AK32" s="88">
        <f>IF(AK19="Year 29",AK22*AK23*'Input Data'!$AP$74/0.85,"")</f>
        <v>5.7</v>
      </c>
      <c r="AL32" s="88">
        <f>IF(AL19="Year 30",AL22*AL23*'Input Data'!$AP$74/0.85,"")</f>
        <v>5.7</v>
      </c>
      <c r="AM32" s="88" t="str">
        <f>IF('Input Data'!AP89&gt;30,AM22*AM23*'Input Data'!$AP$74/0.85,"")</f>
        <v/>
      </c>
    </row>
    <row r="33" spans="2:40" x14ac:dyDescent="0.2">
      <c r="B33" s="2" t="s">
        <v>23</v>
      </c>
      <c r="F33" s="3"/>
      <c r="G33" s="3"/>
      <c r="H33" s="3"/>
      <c r="I33" s="88">
        <f>I24*'Input Data'!$AP$40*'Input Data'!$AP$73/1000000</f>
        <v>1.1274120000000001</v>
      </c>
      <c r="J33" s="88">
        <f>J24*'Input Data'!$AP$40*'Input Data'!$AP$73/1000000</f>
        <v>1.3008599999999999</v>
      </c>
      <c r="K33" s="88">
        <f>K24*'Input Data'!$AP$40*'Input Data'!$AP$73/1000000</f>
        <v>1.474308</v>
      </c>
      <c r="L33" s="88">
        <f>L24*'Input Data'!$AP$40*'Input Data'!$AP$73/1000000</f>
        <v>1.474308</v>
      </c>
      <c r="M33" s="88">
        <f>M24*'Input Data'!$AP$40*'Input Data'!$AP$73/1000000</f>
        <v>1.474308</v>
      </c>
      <c r="N33" s="88">
        <f>N24*'Input Data'!$AP$40*'Input Data'!$AP$73/1000000</f>
        <v>1.474308</v>
      </c>
      <c r="O33" s="88">
        <f>O24*'Input Data'!$AP$40*'Input Data'!$AP$73/1000000</f>
        <v>1.474308</v>
      </c>
      <c r="P33" s="88">
        <f>P24*'Input Data'!$AP$40*'Input Data'!$AP$73/1000000</f>
        <v>1.474308</v>
      </c>
      <c r="Q33" s="88">
        <f>Q24*'Input Data'!$AP$40*'Input Data'!$AP$73/1000000</f>
        <v>1.474308</v>
      </c>
      <c r="R33" s="88">
        <f>R24*'Input Data'!$AP$40*'Input Data'!$AP$73/1000000</f>
        <v>1.474308</v>
      </c>
      <c r="S33" s="88">
        <f>S24*'Input Data'!$AP$40*'Input Data'!$AP$73/1000000</f>
        <v>1.474308</v>
      </c>
      <c r="T33" s="88">
        <f>T24*'Input Data'!$AP$40*'Input Data'!$AP$73/1000000</f>
        <v>1.474308</v>
      </c>
      <c r="U33" s="88">
        <f>U24*'Input Data'!$AP$40*'Input Data'!$AP$73/1000000</f>
        <v>1.474308</v>
      </c>
      <c r="V33" s="88">
        <f>V24*'Input Data'!$AP$40*'Input Data'!$AP$73/1000000</f>
        <v>1.474308</v>
      </c>
      <c r="W33" s="88">
        <f>W24*'Input Data'!$AP$40*'Input Data'!$AP$73/1000000</f>
        <v>1.474308</v>
      </c>
      <c r="X33" s="88">
        <f>X24*'Input Data'!$AP$40*'Input Data'!$AP$73/1000000</f>
        <v>1.474308</v>
      </c>
      <c r="Y33" s="88">
        <f>Y24*'Input Data'!$AP$40*'Input Data'!$AP$73/1000000</f>
        <v>1.474308</v>
      </c>
      <c r="Z33" s="88">
        <f>Z24*'Input Data'!$AP$40*'Input Data'!$AP$73/1000000</f>
        <v>1.474308</v>
      </c>
      <c r="AA33" s="88">
        <f>AA24*'Input Data'!$AP$40*'Input Data'!$AP$73/1000000</f>
        <v>1.474308</v>
      </c>
      <c r="AB33" s="88">
        <f>IF(AB19="Year 20",AB24*'Input Data'!$AP$40*'Input Data'!$AP$73/1000000,"")</f>
        <v>1.474308</v>
      </c>
      <c r="AC33" s="88">
        <f>IF('Input Data'!AP89&gt;20,AC24*'Input Data'!$AP$40*'Input Data'!$AP$73/1000000,"")</f>
        <v>1.474308</v>
      </c>
      <c r="AD33" s="88">
        <f>IF(AD19="Year 22",AD24*'Input Data'!$AP$40*'Input Data'!$AP$73/1000000,"")</f>
        <v>1.474308</v>
      </c>
      <c r="AE33" s="88">
        <f>IF(AE19="Year 23",AE24*'Input Data'!$AP$40*'Input Data'!$AP$73/1000000,"")</f>
        <v>1.474308</v>
      </c>
      <c r="AF33" s="88">
        <f>IF(AF19="Year 24",AF24*'Input Data'!$AP$40*'Input Data'!$AP$73/1000000,"")</f>
        <v>1.474308</v>
      </c>
      <c r="AG33" s="88">
        <f>IF(AG19="Year 25",AG24*'Input Data'!$AP$40*'Input Data'!$AP$73/1000000,"")</f>
        <v>1.474308</v>
      </c>
      <c r="AH33" s="88">
        <f>IF('Input Data'!AP89&gt;25,AH24*'Input Data'!$AP$40*'Input Data'!$AP$73/1000000,"")</f>
        <v>1.474308</v>
      </c>
      <c r="AI33" s="88">
        <f>IF(AI19="Year 27",AI24*'Input Data'!$AP$40*'Input Data'!$AP$73/1000000,"")</f>
        <v>1.474308</v>
      </c>
      <c r="AJ33" s="88">
        <f>IF(AJ19="Year 28",AJ24*'Input Data'!$AP$40*'Input Data'!$AP$73/1000000,"")</f>
        <v>1.474308</v>
      </c>
      <c r="AK33" s="88">
        <f>IF(AK19="Year 29",AK24*'Input Data'!$AP$40*'Input Data'!$AP$73/1000000,"")</f>
        <v>1.474308</v>
      </c>
      <c r="AL33" s="88">
        <f>IF(AL19="Year 30",AL24*'Input Data'!$AP$40*'Input Data'!$AP$73/1000000,"")</f>
        <v>1.474308</v>
      </c>
      <c r="AM33" s="88" t="str">
        <f>IF('Input Data'!AP89&gt;30,AM24*'Input Data'!$AP$40*'Input Data'!$AP$73/1000000,"")</f>
        <v/>
      </c>
    </row>
    <row r="34" spans="2:40" x14ac:dyDescent="0.2">
      <c r="B34" s="2" t="s">
        <v>124</v>
      </c>
      <c r="F34" s="3"/>
      <c r="G34" s="3"/>
      <c r="H34" s="3"/>
      <c r="I34" s="88">
        <f>I5*R10</f>
        <v>16.282</v>
      </c>
      <c r="J34" s="88">
        <f>I5*R10</f>
        <v>16.282</v>
      </c>
      <c r="K34" s="88">
        <f>I5*R10</f>
        <v>16.282</v>
      </c>
      <c r="L34" s="88">
        <f>I5*R10</f>
        <v>16.282</v>
      </c>
      <c r="M34" s="88">
        <f>I5*R10</f>
        <v>16.282</v>
      </c>
      <c r="N34" s="88">
        <f>I5*R10</f>
        <v>16.282</v>
      </c>
      <c r="O34" s="88">
        <f>I5*R10</f>
        <v>16.282</v>
      </c>
      <c r="P34" s="88">
        <f>I5*R10</f>
        <v>16.282</v>
      </c>
      <c r="Q34" s="88">
        <f>I5*R10</f>
        <v>16.282</v>
      </c>
      <c r="R34" s="88">
        <f>I5*R10</f>
        <v>16.282</v>
      </c>
      <c r="S34" s="88">
        <f>I5*R10</f>
        <v>16.282</v>
      </c>
      <c r="T34" s="88">
        <f>I5*R10</f>
        <v>16.282</v>
      </c>
      <c r="U34" s="88">
        <f>I5*R10</f>
        <v>16.282</v>
      </c>
      <c r="V34" s="88">
        <f>I5*R10</f>
        <v>16.282</v>
      </c>
      <c r="W34" s="88">
        <f>I5*R10</f>
        <v>16.282</v>
      </c>
      <c r="X34" s="88">
        <f>I5*R10</f>
        <v>16.282</v>
      </c>
      <c r="Y34" s="88">
        <f>I5*R10</f>
        <v>16.282</v>
      </c>
      <c r="Z34" s="88">
        <f>I5*R10</f>
        <v>16.282</v>
      </c>
      <c r="AA34" s="88">
        <f>I5*R10</f>
        <v>16.282</v>
      </c>
      <c r="AB34" s="88">
        <f>I5*R10</f>
        <v>16.282</v>
      </c>
      <c r="AC34" s="88">
        <f>IF('Input Data'!AP89&gt;20,I5*R10,"")</f>
        <v>16.282</v>
      </c>
      <c r="AD34" s="88">
        <f>IF(AD19="Year 22",R10*I5,"")</f>
        <v>16.282</v>
      </c>
      <c r="AE34" s="88">
        <f>IF(AE19="Year 23",I5*R10,"")</f>
        <v>16.282</v>
      </c>
      <c r="AF34" s="88">
        <f>IF(AF19="Year 24",I5*R10,"")</f>
        <v>16.282</v>
      </c>
      <c r="AG34" s="88">
        <f>IF(AG19="Year 25",I5*R10,"")</f>
        <v>16.282</v>
      </c>
      <c r="AH34" s="88">
        <f>IF('Input Data'!AP89&gt;25,I5*R10,"")</f>
        <v>16.282</v>
      </c>
      <c r="AI34" s="88">
        <f>IF(AI19="Year 27",I5*R10,"")</f>
        <v>16.282</v>
      </c>
      <c r="AJ34" s="88">
        <f>IF(AJ19="Year 28",I5*R10,"")</f>
        <v>16.282</v>
      </c>
      <c r="AK34" s="88">
        <f>IF(AK19="Year 29",I5*R10,"")</f>
        <v>16.282</v>
      </c>
      <c r="AL34" s="88">
        <f>IF(AL19="Year 30",I5*R10,"")</f>
        <v>16.282</v>
      </c>
      <c r="AM34" s="88" t="str">
        <f>IF('Input Data'!AP89&gt;30,I5*R10,"")</f>
        <v/>
      </c>
    </row>
    <row r="35" spans="2:40" ht="15.75" x14ac:dyDescent="0.3">
      <c r="B35" s="2" t="s">
        <v>197</v>
      </c>
      <c r="F35" s="3"/>
      <c r="G35" s="3"/>
      <c r="H35" s="3"/>
      <c r="I35" s="88">
        <f>'Input Data'!$AP$33*'Input Data'!$AP$77*I24/1000000</f>
        <v>0</v>
      </c>
      <c r="J35" s="88">
        <f>'Input Data'!$AP$33*'Input Data'!$AP$77*J24/1000000</f>
        <v>0</v>
      </c>
      <c r="K35" s="88">
        <f>'Input Data'!$AP$33*'Input Data'!$AP$77*K24/1000000</f>
        <v>0</v>
      </c>
      <c r="L35" s="88">
        <f>'Input Data'!$AP$33*'Input Data'!$AP$77*L24/1000000</f>
        <v>0</v>
      </c>
      <c r="M35" s="88">
        <f>'Input Data'!$AP$33*'Input Data'!$AP$77*M24/1000000</f>
        <v>0</v>
      </c>
      <c r="N35" s="88">
        <f>'Input Data'!$AP$33*'Input Data'!$AP$77*N24/1000000</f>
        <v>0</v>
      </c>
      <c r="O35" s="88">
        <f>'Input Data'!$AP$33*'Input Data'!$AP$77*O24/1000000</f>
        <v>0</v>
      </c>
      <c r="P35" s="88">
        <f>'Input Data'!$AP$33*'Input Data'!$AP$77*P24/1000000</f>
        <v>0</v>
      </c>
      <c r="Q35" s="88">
        <f>'Input Data'!$AP$33*'Input Data'!$AP$77*Q24/1000000</f>
        <v>0</v>
      </c>
      <c r="R35" s="88">
        <f>'Input Data'!$AP$33*'Input Data'!$AP$77*R24/1000000</f>
        <v>0</v>
      </c>
      <c r="S35" s="88">
        <f>'Input Data'!$AP$33*'Input Data'!$AP$77*S24/1000000</f>
        <v>0</v>
      </c>
      <c r="T35" s="88">
        <f>'Input Data'!$AP$33*'Input Data'!$AP$77*T24/1000000</f>
        <v>0</v>
      </c>
      <c r="U35" s="88">
        <f>'Input Data'!$AP$33*'Input Data'!$AP$77*U24/1000000</f>
        <v>0</v>
      </c>
      <c r="V35" s="88">
        <f>'Input Data'!$AP$33*'Input Data'!$AP$77*V24/1000000</f>
        <v>0</v>
      </c>
      <c r="W35" s="88">
        <f>'Input Data'!$AP$33*'Input Data'!$AP$77*W24/1000000</f>
        <v>0</v>
      </c>
      <c r="X35" s="88">
        <f>'Input Data'!$AP$33*'Input Data'!$AP$77*X24/1000000</f>
        <v>0</v>
      </c>
      <c r="Y35" s="88">
        <f>'Input Data'!$AP$33*'Input Data'!$AP$77*Y24/1000000</f>
        <v>0</v>
      </c>
      <c r="Z35" s="88">
        <f>'Input Data'!$AP$33*'Input Data'!$AP$77*Z24/1000000</f>
        <v>0</v>
      </c>
      <c r="AA35" s="88">
        <f>'Input Data'!$AP$33*'Input Data'!$AP$77*AA24/1000000</f>
        <v>0</v>
      </c>
      <c r="AB35" s="88">
        <f>'Input Data'!$AP$33*'Input Data'!$AP$77*AB24/1000000</f>
        <v>0</v>
      </c>
      <c r="AC35" s="88">
        <f>IF('Input Data'!AP89&gt;20,'Input Data'!$AP$33*'Input Data'!$AP$77*AC24/1000000,"")</f>
        <v>0</v>
      </c>
      <c r="AD35" s="88">
        <f>IF(AD19="Year 22",'Input Data'!$AP$33*'Input Data'!$AP$77*AD24/1000000,"")</f>
        <v>0</v>
      </c>
      <c r="AE35" s="88">
        <f>IF(AE19="Year 23",'Input Data'!$AP$33*'Input Data'!$AP$77*AE24/1000000,"")</f>
        <v>0</v>
      </c>
      <c r="AF35" s="88">
        <f>IF(AF19="Year 24",'Input Data'!$AP$33*'Input Data'!$AP$77*AF24/1000000,"")</f>
        <v>0</v>
      </c>
      <c r="AG35" s="88">
        <f>IF(AG19="Year 25",'Input Data'!$AP$33*'Input Data'!$AP$77*AG24/1000000,"")</f>
        <v>0</v>
      </c>
      <c r="AH35" s="88">
        <f>IF('Input Data'!AP89&gt;25,'Input Data'!$AP$33*'Input Data'!$AP$77*AH24/1000000,"")</f>
        <v>0</v>
      </c>
      <c r="AI35" s="88">
        <f>IF(AI19="Year 27",'Input Data'!$AP$33*'Input Data'!$AP$77*AI24/1000000,"")</f>
        <v>0</v>
      </c>
      <c r="AJ35" s="88">
        <f>IF(AJ19="Year 28",'Input Data'!$AP$33*'Input Data'!$AP$77*AJ24/1000000,"")</f>
        <v>0</v>
      </c>
      <c r="AK35" s="88">
        <f>IF(AK19="Year 29",'Input Data'!$AP$33*'Input Data'!$AP$77*AK24/1000000,"")</f>
        <v>0</v>
      </c>
      <c r="AL35" s="88">
        <f>IF(AL19="Year 30",'Input Data'!$AP$33*'Input Data'!$AP$77*AL24/1000000,"")</f>
        <v>0</v>
      </c>
      <c r="AM35" s="88" t="str">
        <f>IF('Input Data'!AP89&gt;30,'Input Data'!$AP$33*'Input Data'!$AP$77*AM24/1000000,"")</f>
        <v/>
      </c>
    </row>
    <row r="36" spans="2:40" x14ac:dyDescent="0.2">
      <c r="B36" s="1" t="s">
        <v>132</v>
      </c>
      <c r="F36" s="88">
        <f>I10*F25</f>
        <v>284.93499999999995</v>
      </c>
      <c r="G36" s="88">
        <f>I10*G25</f>
        <v>512.88299999999992</v>
      </c>
      <c r="H36" s="88">
        <f>H25*I10</f>
        <v>341.92199999999991</v>
      </c>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40" ht="13.5" thickBot="1" x14ac:dyDescent="0.25">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2:40" ht="13.5" thickBot="1" x14ac:dyDescent="0.25">
      <c r="B38" s="90" t="s">
        <v>129</v>
      </c>
      <c r="C38" s="91"/>
      <c r="D38" s="91"/>
      <c r="E38" s="91"/>
      <c r="F38" s="92">
        <f t="shared" ref="F38:AB38" si="5">SUM(F27:F27)-SUM(F29:F35)-F36</f>
        <v>-284.93499999999995</v>
      </c>
      <c r="G38" s="92">
        <f t="shared" si="5"/>
        <v>-512.88299999999992</v>
      </c>
      <c r="H38" s="92">
        <f t="shared" si="5"/>
        <v>-341.92199999999991</v>
      </c>
      <c r="I38" s="92">
        <f t="shared" si="5"/>
        <v>93.279138412132227</v>
      </c>
      <c r="J38" s="92">
        <f t="shared" si="5"/>
        <v>116.2000827832295</v>
      </c>
      <c r="K38" s="92">
        <f t="shared" si="5"/>
        <v>139.12102715432675</v>
      </c>
      <c r="L38" s="92">
        <f t="shared" si="5"/>
        <v>139.12102715432675</v>
      </c>
      <c r="M38" s="92">
        <f t="shared" si="5"/>
        <v>139.12102715432675</v>
      </c>
      <c r="N38" s="92">
        <f t="shared" si="5"/>
        <v>139.12102715432675</v>
      </c>
      <c r="O38" s="92">
        <f t="shared" si="5"/>
        <v>139.12102715432675</v>
      </c>
      <c r="P38" s="92">
        <f t="shared" si="5"/>
        <v>139.12102715432675</v>
      </c>
      <c r="Q38" s="92">
        <f t="shared" si="5"/>
        <v>139.12102715432675</v>
      </c>
      <c r="R38" s="92">
        <f t="shared" si="5"/>
        <v>139.12102715432675</v>
      </c>
      <c r="S38" s="92">
        <f t="shared" si="5"/>
        <v>139.12102715432675</v>
      </c>
      <c r="T38" s="92">
        <f t="shared" si="5"/>
        <v>139.12102715432675</v>
      </c>
      <c r="U38" s="92">
        <f t="shared" si="5"/>
        <v>139.12102715432675</v>
      </c>
      <c r="V38" s="92">
        <f t="shared" si="5"/>
        <v>139.12102715432675</v>
      </c>
      <c r="W38" s="92">
        <f t="shared" si="5"/>
        <v>139.12102715432675</v>
      </c>
      <c r="X38" s="92">
        <f t="shared" si="5"/>
        <v>139.12102715432675</v>
      </c>
      <c r="Y38" s="92">
        <f t="shared" si="5"/>
        <v>139.12102715432675</v>
      </c>
      <c r="Z38" s="92">
        <f t="shared" si="5"/>
        <v>139.12102715432675</v>
      </c>
      <c r="AA38" s="92">
        <f t="shared" si="5"/>
        <v>139.12102715432675</v>
      </c>
      <c r="AB38" s="92">
        <f t="shared" si="5"/>
        <v>139.12102715432675</v>
      </c>
      <c r="AC38" s="92">
        <f>IF(AC19="Year 21",SUM(AC27:AC27)-SUM(AC29:AC35)-AC36,"")</f>
        <v>139.12102715432675</v>
      </c>
      <c r="AD38" s="92">
        <f>IF(AD19="Year 22",SUM(AD27:AD27)-SUM(AD29:AD35)-AD36,"")</f>
        <v>139.12102715432675</v>
      </c>
      <c r="AE38" s="92">
        <f>IF(AE19="Year 23",SUM(AE27:AE27)-SUM(AE29:AE35)-AE36,"")</f>
        <v>139.12102715432675</v>
      </c>
      <c r="AF38" s="92">
        <f>IF(AF19="Year 24",SUM(AF27:AF27)-SUM(AF29:AF35)-AF36,"")</f>
        <v>139.12102715432675</v>
      </c>
      <c r="AG38" s="92">
        <f>IF(AG19="Year 25",SUM(AG27:AG27)-SUM(AG29:AG35)-AG36,"")</f>
        <v>139.12102715432675</v>
      </c>
      <c r="AH38" s="92">
        <f>IF(AH19="Year 26",SUM(AH27:AH27)-SUM(AH29:AH35)-AH36,"")</f>
        <v>139.12102715432675</v>
      </c>
      <c r="AI38" s="92">
        <f>IF(AI19="Year 27",SUM(AI27:AI27)-SUM(AI29:AI35)-AI36,"")</f>
        <v>139.12102715432675</v>
      </c>
      <c r="AJ38" s="92">
        <f>IF(AJ19="Year 28",SUM(AJ27:AJ27)-SUM(AJ29:AJ35)-AJ36,"")</f>
        <v>139.12102715432675</v>
      </c>
      <c r="AK38" s="92">
        <f>IF(AK19="Year 29",SUM(AK27:AK27)-SUM(AK29:AK35)-AK36,"")</f>
        <v>139.12102715432675</v>
      </c>
      <c r="AL38" s="92">
        <f>IF(AL19="Year 30",SUM(AL27:AL27)-SUM(AL29:AL35)-AL36,"")</f>
        <v>139.12102715432675</v>
      </c>
      <c r="AM38" s="92">
        <f>IF(AM19="Year 31",SUM(AM27:AM27)-SUM(AM29:AM35)-AM36,"")</f>
        <v>0</v>
      </c>
    </row>
    <row r="39" spans="2:40" ht="13.5" thickBot="1" x14ac:dyDescent="0.25">
      <c r="B39" s="90" t="s">
        <v>130</v>
      </c>
      <c r="C39" s="91"/>
      <c r="D39" s="91"/>
      <c r="E39" s="91"/>
      <c r="F39" s="93">
        <f>F38</f>
        <v>-284.93499999999995</v>
      </c>
      <c r="G39" s="93">
        <f>-1*(ABS(G38)+ABS(F39))</f>
        <v>-797.81799999999987</v>
      </c>
      <c r="H39" s="93">
        <f>-1*(ABS(H38)+ABS(G39))</f>
        <v>-1139.7399999999998</v>
      </c>
      <c r="I39" s="93">
        <f t="shared" ref="I39:AB39" si="6">H39+I38</f>
        <v>-1046.4608615878676</v>
      </c>
      <c r="J39" s="93">
        <f t="shared" si="6"/>
        <v>-930.26077880463811</v>
      </c>
      <c r="K39" s="93">
        <f t="shared" si="6"/>
        <v>-791.13975165031138</v>
      </c>
      <c r="L39" s="93">
        <f t="shared" si="6"/>
        <v>-652.01872449598466</v>
      </c>
      <c r="M39" s="93">
        <f t="shared" si="6"/>
        <v>-512.89769734165793</v>
      </c>
      <c r="N39" s="93">
        <f t="shared" si="6"/>
        <v>-373.77667018733121</v>
      </c>
      <c r="O39" s="93">
        <f t="shared" si="6"/>
        <v>-234.65564303300445</v>
      </c>
      <c r="P39" s="93">
        <f t="shared" si="6"/>
        <v>-95.534615878677698</v>
      </c>
      <c r="Q39" s="93">
        <f t="shared" si="6"/>
        <v>43.586411275649056</v>
      </c>
      <c r="R39" s="93">
        <f t="shared" si="6"/>
        <v>182.70743842997581</v>
      </c>
      <c r="S39" s="93">
        <f t="shared" si="6"/>
        <v>321.82846558430253</v>
      </c>
      <c r="T39" s="93">
        <f t="shared" si="6"/>
        <v>460.94949273862926</v>
      </c>
      <c r="U39" s="93">
        <f t="shared" si="6"/>
        <v>600.07051989295599</v>
      </c>
      <c r="V39" s="93">
        <f t="shared" si="6"/>
        <v>739.19154704728271</v>
      </c>
      <c r="W39" s="93">
        <f t="shared" si="6"/>
        <v>878.31257420160944</v>
      </c>
      <c r="X39" s="93">
        <f t="shared" si="6"/>
        <v>1017.4336013559362</v>
      </c>
      <c r="Y39" s="93">
        <f t="shared" si="6"/>
        <v>1156.554628510263</v>
      </c>
      <c r="Z39" s="93">
        <f t="shared" si="6"/>
        <v>1295.6756556645898</v>
      </c>
      <c r="AA39" s="93">
        <f t="shared" si="6"/>
        <v>1434.7966828189167</v>
      </c>
      <c r="AB39" s="93">
        <f t="shared" si="6"/>
        <v>1573.9177099732435</v>
      </c>
      <c r="AC39" s="93">
        <f>IF(AC19="Year 21",AB39+AC38,"")</f>
        <v>1713.0387371275704</v>
      </c>
      <c r="AD39" s="93">
        <f>IF(AD19="Year 22",AC39+AD38,"")</f>
        <v>1852.1597642818972</v>
      </c>
      <c r="AE39" s="93">
        <f>IF(AE19="Year 23",AD39+AE38,"")</f>
        <v>1991.280791436224</v>
      </c>
      <c r="AF39" s="93">
        <f>IF(AF19="Year 24",AE39+AF38,"")</f>
        <v>2130.4018185905506</v>
      </c>
      <c r="AG39" s="93">
        <f>IF(AG19="Year 25",AF39+AG38,"")</f>
        <v>2269.5228457448775</v>
      </c>
      <c r="AH39" s="93">
        <f>IF(AH19="Year 26",AG39+AH38,"")</f>
        <v>2408.6438728992043</v>
      </c>
      <c r="AI39" s="93">
        <f>IF(AI19="Year 27",AH39+AI38,"")</f>
        <v>2547.7649000535312</v>
      </c>
      <c r="AJ39" s="93">
        <f>IF(AJ19="Year 28",AI39+AJ38,"")</f>
        <v>2686.885927207858</v>
      </c>
      <c r="AK39" s="93">
        <f>IF(AK19="Year 29",AJ39+AK38,"")</f>
        <v>2826.0069543621848</v>
      </c>
      <c r="AL39" s="93">
        <f>IF(AL19="Year 30",AK39+AL38,"")</f>
        <v>2965.1279815165117</v>
      </c>
      <c r="AM39" s="93">
        <f>IF(AM19="Year 31",AL39+AM38,"")</f>
        <v>2965.1279815165117</v>
      </c>
    </row>
    <row r="40" spans="2:40" ht="13.5" thickBot="1" x14ac:dyDescent="0.25">
      <c r="B40" s="90"/>
      <c r="C40" s="91"/>
      <c r="D40" s="91"/>
      <c r="E40" s="91"/>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1"/>
      <c r="AJ40" s="91"/>
      <c r="AK40" s="91"/>
      <c r="AL40" s="91"/>
      <c r="AM40" s="91"/>
    </row>
    <row r="41" spans="2:40" ht="13.5" thickBot="1" x14ac:dyDescent="0.25">
      <c r="B41" s="90" t="s">
        <v>128</v>
      </c>
      <c r="C41" s="91"/>
      <c r="D41" s="91"/>
      <c r="E41" s="91"/>
      <c r="F41" s="93">
        <f>F39/(1+R9)</f>
        <v>-259.0318181818181</v>
      </c>
      <c r="G41" s="93">
        <f>G38/(1+R9)^2</f>
        <v>-423.87024793388417</v>
      </c>
      <c r="H41" s="93">
        <f>H38/(1+R9)^3</f>
        <v>-256.89105935386914</v>
      </c>
      <c r="I41" s="93">
        <f>I38/(1+R9)^4</f>
        <v>63.710906640347105</v>
      </c>
      <c r="J41" s="93">
        <f>J38/(1+R9)^5</f>
        <v>72.151109141346197</v>
      </c>
      <c r="K41" s="93">
        <f>K38/(1+R9)^6</f>
        <v>78.530192950921077</v>
      </c>
      <c r="L41" s="93">
        <f>L38/(1+R9)^7</f>
        <v>71.391084500837323</v>
      </c>
      <c r="M41" s="93">
        <f>M38/(1+R9)^8</f>
        <v>64.900985909852125</v>
      </c>
      <c r="N41" s="93">
        <f>N38/(1+R9)^9</f>
        <v>59.000896281683744</v>
      </c>
      <c r="O41" s="93">
        <f>O38/(1+R9)^10</f>
        <v>53.637178437894306</v>
      </c>
      <c r="P41" s="93">
        <f>P38/(1+R9)^11</f>
        <v>48.761071307176636</v>
      </c>
      <c r="Q41" s="93">
        <f>Q38/(1+R9)^12</f>
        <v>44.328246642887855</v>
      </c>
      <c r="R41" s="93">
        <f>R38/(1+R9)^13</f>
        <v>40.298406038988958</v>
      </c>
      <c r="S41" s="93">
        <f>S38/(1+R9)^14</f>
        <v>36.634914580899043</v>
      </c>
      <c r="T41" s="93">
        <f>T38/(1+R9)^15</f>
        <v>33.304467800817314</v>
      </c>
      <c r="U41" s="93">
        <f>U38/(1+R9)^16</f>
        <v>30.276788909833918</v>
      </c>
      <c r="V41" s="93">
        <f>V38/(1+R9)^17</f>
        <v>27.52435355439447</v>
      </c>
      <c r="W41" s="93">
        <f>W38/(1+R9)^18</f>
        <v>25.022139594904065</v>
      </c>
      <c r="X41" s="93">
        <f>X38/(1+R9)^19</f>
        <v>22.747399631730961</v>
      </c>
      <c r="Y41" s="93">
        <f>Y38/(1+R9)^20</f>
        <v>20.67945421066451</v>
      </c>
      <c r="Z41" s="93">
        <f>Z38/(1+R9)^21</f>
        <v>18.799503827876826</v>
      </c>
      <c r="AA41" s="93">
        <f>AA38/(1+R9)^22</f>
        <v>17.090458025342567</v>
      </c>
      <c r="AB41" s="93">
        <f>AB38/(1+R9)^23</f>
        <v>15.536780023038697</v>
      </c>
      <c r="AC41" s="93">
        <f>IF(AC19="Year 21",AC38/(1+R9)^24,"")</f>
        <v>14.124345475489726</v>
      </c>
      <c r="AD41" s="93">
        <f>IF(AD19="Year 22",AD38/(1+R9)^25,"")</f>
        <v>12.840314068627022</v>
      </c>
      <c r="AE41" s="93">
        <f>IF(AE19="Year 23",AE38/(1+R9)^26,"")</f>
        <v>11.673012789660927</v>
      </c>
      <c r="AF41" s="93">
        <f>IF(AF19="Year 24",AF38/(1+R9)^27,"")</f>
        <v>10.611829808782659</v>
      </c>
      <c r="AG41" s="93">
        <f>IF(AG19="Year 25",AG38/(1+R9)^28,"")</f>
        <v>9.6471180079842362</v>
      </c>
      <c r="AH41" s="93">
        <f>IF(AH19="Year 26",AH38/(1+R9)^29,"")</f>
        <v>8.7701072799856696</v>
      </c>
      <c r="AI41" s="93">
        <f>IF(AI19="Year 27",AI38/(1+R9)^30,"")</f>
        <v>7.9728247999869701</v>
      </c>
      <c r="AJ41" s="93">
        <f>IF(AJ19="Year 28",AJ38/(1+R9)^31,"")</f>
        <v>7.2480225454427005</v>
      </c>
      <c r="AK41" s="93">
        <f>IF(AK19="Year 29",AK38/(1+R9)^32,"")</f>
        <v>6.5891114049479089</v>
      </c>
      <c r="AL41" s="93">
        <f>IF(AL19="Year 30",AL38/(1+R9)^33,"")</f>
        <v>5.9901012772253717</v>
      </c>
      <c r="AM41" s="93">
        <f>IF(AM19="Year 31",AM38/(1+R9)^34,"")</f>
        <v>0</v>
      </c>
    </row>
    <row r="42" spans="2:40" ht="13.5" thickBot="1" x14ac:dyDescent="0.25">
      <c r="B42" s="90" t="s">
        <v>131</v>
      </c>
      <c r="C42" s="91"/>
      <c r="D42" s="91"/>
      <c r="E42" s="91"/>
      <c r="F42" s="93">
        <f>F41</f>
        <v>-259.0318181818181</v>
      </c>
      <c r="G42" s="93">
        <f t="shared" ref="G42:AB42" si="7">SUM(G41+F42)</f>
        <v>-682.90206611570227</v>
      </c>
      <c r="H42" s="93">
        <f t="shared" si="7"/>
        <v>-939.79312546957135</v>
      </c>
      <c r="I42" s="93">
        <f t="shared" si="7"/>
        <v>-876.0822188292243</v>
      </c>
      <c r="J42" s="93">
        <f t="shared" si="7"/>
        <v>-803.93110968787812</v>
      </c>
      <c r="K42" s="93">
        <f t="shared" si="7"/>
        <v>-725.40091673695702</v>
      </c>
      <c r="L42" s="93">
        <f t="shared" si="7"/>
        <v>-654.00983223611968</v>
      </c>
      <c r="M42" s="93">
        <f t="shared" si="7"/>
        <v>-589.10884632626755</v>
      </c>
      <c r="N42" s="93">
        <f t="shared" si="7"/>
        <v>-530.10795004458384</v>
      </c>
      <c r="O42" s="93">
        <f t="shared" si="7"/>
        <v>-476.47077160668954</v>
      </c>
      <c r="P42" s="93">
        <f t="shared" si="7"/>
        <v>-427.70970029951292</v>
      </c>
      <c r="Q42" s="93">
        <f t="shared" si="7"/>
        <v>-383.38145365662507</v>
      </c>
      <c r="R42" s="93">
        <f t="shared" si="7"/>
        <v>-343.08304761763611</v>
      </c>
      <c r="S42" s="93">
        <f t="shared" si="7"/>
        <v>-306.44813303673709</v>
      </c>
      <c r="T42" s="93">
        <f t="shared" si="7"/>
        <v>-273.1436652359198</v>
      </c>
      <c r="U42" s="93">
        <f t="shared" si="7"/>
        <v>-242.86687632608587</v>
      </c>
      <c r="V42" s="93">
        <f t="shared" si="7"/>
        <v>-215.34252277169139</v>
      </c>
      <c r="W42" s="93">
        <f t="shared" si="7"/>
        <v>-190.32038317678732</v>
      </c>
      <c r="X42" s="93">
        <f t="shared" si="7"/>
        <v>-167.57298354505636</v>
      </c>
      <c r="Y42" s="93">
        <f t="shared" si="7"/>
        <v>-146.89352933439184</v>
      </c>
      <c r="Z42" s="93">
        <f t="shared" si="7"/>
        <v>-128.09402550651501</v>
      </c>
      <c r="AA42" s="93">
        <f t="shared" si="7"/>
        <v>-111.00356748117244</v>
      </c>
      <c r="AB42" s="93">
        <f t="shared" si="7"/>
        <v>-95.466787458133737</v>
      </c>
      <c r="AC42" s="93">
        <f>IF(AC19="Year 21",SUM(AC41+AB42),"")</f>
        <v>-81.342441982644004</v>
      </c>
      <c r="AD42" s="93">
        <f>IF(AD19="Year 22",SUM(AD41+AC42),"")</f>
        <v>-68.502127914016981</v>
      </c>
      <c r="AE42" s="93">
        <f>IF(AE19="Year 23",SUM(AE41+AD42),"")</f>
        <v>-56.829115124356051</v>
      </c>
      <c r="AF42" s="93">
        <f>IF(AF19="Year 24",SUM(AF41+AE42),"")</f>
        <v>-46.217285315573392</v>
      </c>
      <c r="AG42" s="93">
        <f>IF(AG19="Year 25",SUM(AG41+AF42),"")</f>
        <v>-36.570167307589159</v>
      </c>
      <c r="AH42" s="93">
        <f>IF(AH19="Year 26",SUM(AH41+AG42),"")</f>
        <v>-27.800060027603489</v>
      </c>
      <c r="AI42" s="93">
        <f>IF(AI19="Year 27",SUM(AI41+AH42),"")</f>
        <v>-19.827235227616519</v>
      </c>
      <c r="AJ42" s="93">
        <f>IF(AJ19="Year 28",SUM(AJ41+AI42),"")</f>
        <v>-12.579212682173818</v>
      </c>
      <c r="AK42" s="93">
        <f>IF(AK19="Year 29",SUM(AK41+AJ42),"")</f>
        <v>-5.990101277225909</v>
      </c>
      <c r="AL42" s="93">
        <f>IF(AL19="Year 30",SUM(AL41+AK42),"")</f>
        <v>-5.3734794391857577E-13</v>
      </c>
      <c r="AM42" s="93">
        <f>IF(AM19="Year 31",SUM(AM41+AL42),"")</f>
        <v>-5.3734794391857577E-13</v>
      </c>
    </row>
    <row r="43" spans="2:40" x14ac:dyDescent="0.2">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2:40" s="229" customFormat="1" x14ac:dyDescent="0.2">
      <c r="F44" s="230"/>
      <c r="G44" s="230"/>
      <c r="H44" s="230"/>
      <c r="I44" s="230"/>
      <c r="J44" s="230"/>
      <c r="K44" s="230"/>
      <c r="L44" s="230"/>
      <c r="M44" s="230"/>
      <c r="N44" s="230"/>
      <c r="O44" s="230"/>
      <c r="P44" s="230"/>
      <c r="Q44" s="230"/>
      <c r="R44" s="230"/>
      <c r="S44" s="230"/>
      <c r="T44" s="230"/>
      <c r="U44" s="230"/>
      <c r="V44" s="230"/>
      <c r="W44" s="230"/>
      <c r="X44" s="230"/>
      <c r="Y44" s="230"/>
      <c r="Z44" s="230"/>
      <c r="AA44" s="230" t="s">
        <v>203</v>
      </c>
      <c r="AB44" s="230"/>
      <c r="AC44" s="231">
        <f>SUM(AC41+AB42)</f>
        <v>-81.342441982644004</v>
      </c>
      <c r="AD44" s="231">
        <f>IF(AD41="",AC42,SUM(AD41+AC42))</f>
        <v>-68.502127914016981</v>
      </c>
      <c r="AE44" s="231">
        <f>IF(AE41="",AD44,SUM(AE41+AD44))</f>
        <v>-56.829115124356051</v>
      </c>
      <c r="AF44" s="231">
        <f>IF(AF41="",AE44,SUM(AF41+AE44))</f>
        <v>-46.217285315573392</v>
      </c>
      <c r="AG44" s="231">
        <f t="shared" ref="AG44:AN44" si="8">IF(AG41="",AF44,SUM(AG41+AF44))</f>
        <v>-36.570167307589159</v>
      </c>
      <c r="AH44" s="231">
        <f t="shared" si="8"/>
        <v>-27.800060027603489</v>
      </c>
      <c r="AI44" s="231">
        <f t="shared" si="8"/>
        <v>-19.827235227616519</v>
      </c>
      <c r="AJ44" s="231">
        <f t="shared" si="8"/>
        <v>-12.579212682173818</v>
      </c>
      <c r="AK44" s="231">
        <f t="shared" si="8"/>
        <v>-5.990101277225909</v>
      </c>
      <c r="AL44" s="231">
        <f t="shared" si="8"/>
        <v>-5.3734794391857577E-13</v>
      </c>
      <c r="AM44" s="231">
        <f t="shared" si="8"/>
        <v>-5.3734794391857577E-13</v>
      </c>
      <c r="AN44" s="231">
        <f t="shared" si="8"/>
        <v>-5.3734794391857577E-13</v>
      </c>
    </row>
    <row r="45" spans="2:40" x14ac:dyDescent="0.2">
      <c r="F45" s="82"/>
      <c r="G45" s="82"/>
      <c r="H45" s="87"/>
    </row>
    <row r="46" spans="2:40" x14ac:dyDescent="0.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row>
    <row r="47" spans="2:40" x14ac:dyDescent="0.2">
      <c r="I47" s="82"/>
    </row>
  </sheetData>
  <sheetProtection password="C9BE" sheet="1" objects="1" scenarios="1" selectLockedCells="1" selectUnlockedCells="1"/>
  <protectedRanges>
    <protectedRange sqref="R5" name="Range1"/>
    <protectedRange sqref="AN44" name="Range2"/>
  </protectedRanges>
  <customSheetViews>
    <customSheetView guid="{F792C52D-3F7D-4169-B87A-F2F2698FB257}" scale="75" fitToPage="1" showRuler="0">
      <pane xSplit="5" ySplit="15" topLeftCell="F16" activePane="bottomRight" state="frozen"/>
      <selection pane="bottomRight" activeCell="J54" sqref="J54"/>
      <pageMargins left="0.75" right="0.75" top="1" bottom="1" header="0.5" footer="0.5"/>
      <pageSetup paperSize="9" scale="39" orientation="landscape" r:id="rId1"/>
      <headerFooter alignWithMargins="0"/>
    </customSheetView>
  </customSheetViews>
  <mergeCells count="1">
    <mergeCell ref="F17:AG17"/>
  </mergeCells>
  <phoneticPr fontId="4" type="noConversion"/>
  <pageMargins left="0.75" right="0.75" top="1" bottom="1" header="0.5" footer="0.5"/>
  <pageSetup paperSize="9" scale="32"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N47"/>
  <sheetViews>
    <sheetView zoomScale="75" workbookViewId="0">
      <pane xSplit="5" ySplit="15" topLeftCell="F16" activePane="bottomRight" state="frozen"/>
      <selection activeCell="E60" sqref="E60"/>
      <selection pane="topRight" activeCell="E60" sqref="E60"/>
      <selection pane="bottomLeft" activeCell="E60" sqref="E60"/>
      <selection pane="bottomRight"/>
    </sheetView>
  </sheetViews>
  <sheetFormatPr defaultRowHeight="12.75" x14ac:dyDescent="0.2"/>
  <cols>
    <col min="5" max="5" width="9.42578125" customWidth="1"/>
    <col min="6" max="7" width="10.140625" bestFit="1" customWidth="1"/>
    <col min="8" max="8" width="10.85546875" customWidth="1"/>
    <col min="9" max="9" width="11.28515625" bestFit="1" customWidth="1"/>
    <col min="10" max="10" width="10.28515625" bestFit="1" customWidth="1"/>
    <col min="11" max="11" width="9.85546875" customWidth="1"/>
    <col min="12" max="16" width="10.140625" bestFit="1" customWidth="1"/>
    <col min="17" max="17" width="13.42578125" customWidth="1"/>
    <col min="18" max="20" width="10.140625" bestFit="1" customWidth="1"/>
    <col min="21" max="33" width="9.7109375" bestFit="1" customWidth="1"/>
  </cols>
  <sheetData>
    <row r="2" spans="2:21" x14ac:dyDescent="0.2">
      <c r="E2" s="127"/>
    </row>
    <row r="4" spans="2:21" x14ac:dyDescent="0.2">
      <c r="B4" s="1" t="s">
        <v>0</v>
      </c>
      <c r="G4" s="1" t="s">
        <v>6</v>
      </c>
      <c r="I4" s="1" t="s">
        <v>12</v>
      </c>
      <c r="K4" s="1" t="s">
        <v>13</v>
      </c>
      <c r="L4" s="1" t="s">
        <v>14</v>
      </c>
      <c r="P4" s="1" t="s">
        <v>16</v>
      </c>
    </row>
    <row r="5" spans="2:21" x14ac:dyDescent="0.2">
      <c r="B5" t="s">
        <v>1</v>
      </c>
      <c r="D5" t="s">
        <v>2</v>
      </c>
      <c r="E5" s="82">
        <f>'Input Data'!AW26</f>
        <v>257</v>
      </c>
      <c r="G5" t="s">
        <v>7</v>
      </c>
      <c r="I5">
        <f>'Input Data'!AW60</f>
        <v>1354.7</v>
      </c>
      <c r="K5" t="s">
        <v>76</v>
      </c>
      <c r="M5">
        <f>'Input Data'!AW71</f>
        <v>65</v>
      </c>
      <c r="N5" t="s">
        <v>26</v>
      </c>
      <c r="P5" t="s">
        <v>120</v>
      </c>
      <c r="R5" s="81">
        <v>9.6897837107290524E-2</v>
      </c>
      <c r="S5" t="s">
        <v>136</v>
      </c>
    </row>
    <row r="6" spans="2:21" x14ac:dyDescent="0.2">
      <c r="B6" t="s">
        <v>4</v>
      </c>
      <c r="D6" t="s">
        <v>3</v>
      </c>
      <c r="E6" s="82">
        <f>'Input Data'!AW23</f>
        <v>605.59999999999991</v>
      </c>
      <c r="G6" t="s">
        <v>8</v>
      </c>
      <c r="I6" s="125">
        <f>'Input Data'!AW65</f>
        <v>0.05</v>
      </c>
      <c r="K6" t="s">
        <v>20</v>
      </c>
      <c r="M6">
        <f>'Input Data'!AW72</f>
        <v>44.5</v>
      </c>
      <c r="N6" t="s">
        <v>135</v>
      </c>
    </row>
    <row r="7" spans="2:21" ht="15.75" x14ac:dyDescent="0.3">
      <c r="E7" s="82"/>
      <c r="G7" t="s">
        <v>9</v>
      </c>
      <c r="I7" s="125">
        <f>'Input Data'!AW66</f>
        <v>0.1</v>
      </c>
      <c r="K7" t="s">
        <v>199</v>
      </c>
      <c r="M7" s="227">
        <f>'Input Data'!AW77</f>
        <v>0</v>
      </c>
      <c r="N7" s="223" t="s">
        <v>26</v>
      </c>
    </row>
    <row r="8" spans="2:21" x14ac:dyDescent="0.2">
      <c r="E8" s="128"/>
      <c r="G8" t="s">
        <v>10</v>
      </c>
      <c r="I8" s="126">
        <f>'Input Data'!AW64</f>
        <v>0.25</v>
      </c>
      <c r="K8" s="1" t="s">
        <v>121</v>
      </c>
      <c r="N8" s="85" t="s">
        <v>126</v>
      </c>
      <c r="P8" s="1"/>
      <c r="Q8" s="1"/>
      <c r="R8" s="98"/>
      <c r="S8" s="1"/>
      <c r="T8" s="99"/>
      <c r="U8" s="1"/>
    </row>
    <row r="9" spans="2:21" x14ac:dyDescent="0.2">
      <c r="K9" t="s">
        <v>106</v>
      </c>
      <c r="N9">
        <f>'Input Data'!AW78</f>
        <v>128</v>
      </c>
      <c r="P9" t="s">
        <v>127</v>
      </c>
      <c r="R9" s="86">
        <f>'Input Data'!AW86</f>
        <v>0.1</v>
      </c>
    </row>
    <row r="10" spans="2:21" x14ac:dyDescent="0.2">
      <c r="B10" s="179" t="str">
        <f>IF('Input Data'!AW9&gt;0.001,"Performance Data: User Adjusted","")</f>
        <v/>
      </c>
      <c r="G10" t="s">
        <v>11</v>
      </c>
      <c r="I10" s="128">
        <f>I5+(I6*I5)+(I5*I7)+(I5*I8)</f>
        <v>1896.58</v>
      </c>
      <c r="K10" t="s">
        <v>107</v>
      </c>
      <c r="N10">
        <f>'Input Data'!AW79</f>
        <v>0.05</v>
      </c>
      <c r="P10" t="s">
        <v>24</v>
      </c>
      <c r="R10" s="83">
        <f>'Input Data'!AW81</f>
        <v>0.02</v>
      </c>
      <c r="S10" t="s">
        <v>125</v>
      </c>
    </row>
    <row r="11" spans="2:21" x14ac:dyDescent="0.2">
      <c r="K11" t="s">
        <v>122</v>
      </c>
      <c r="N11" s="83">
        <f>'Input Data'!AW80</f>
        <v>0.3</v>
      </c>
    </row>
    <row r="12" spans="2:21" x14ac:dyDescent="0.2">
      <c r="K12" s="1" t="s">
        <v>133</v>
      </c>
      <c r="N12" s="1">
        <f>(N9*N10)*(1+N11)</f>
        <v>8.32</v>
      </c>
    </row>
    <row r="13" spans="2:21" x14ac:dyDescent="0.2">
      <c r="G13" s="179" t="str">
        <f>IF('Input Data'!AW47&gt;0.001,"Capital and Cost Data: User Adjusted","")</f>
        <v/>
      </c>
      <c r="P13" s="179" t="str">
        <f>IF('Input Data'!AW83&gt;0.001,"Revenue Data: User Adjusted","")</f>
        <v/>
      </c>
      <c r="T13" s="200"/>
    </row>
    <row r="14" spans="2:21" x14ac:dyDescent="0.2">
      <c r="G14" s="177"/>
      <c r="K14" s="179" t="str">
        <f>IF('Input Data'!AW70&gt;0.001,"Operating Data: User Adjusted","")</f>
        <v/>
      </c>
    </row>
    <row r="15" spans="2:21" x14ac:dyDescent="0.2">
      <c r="G15" s="177"/>
    </row>
    <row r="16" spans="2:21" ht="13.5" thickBot="1" x14ac:dyDescent="0.25">
      <c r="G16" s="177"/>
    </row>
    <row r="17" spans="2:39"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Data'!AT102</f>
        <v>2012</v>
      </c>
      <c r="J18" s="78">
        <f>'Input Data'!AT103</f>
        <v>2013</v>
      </c>
      <c r="K18" s="78">
        <f>'Input Data'!AT104</f>
        <v>2014</v>
      </c>
      <c r="L18" s="78">
        <f>'Input Data'!AT105</f>
        <v>2015</v>
      </c>
      <c r="M18" s="78">
        <f>'Input Data'!AT106</f>
        <v>2016</v>
      </c>
      <c r="N18" s="78">
        <f>'Input Data'!AT107</f>
        <v>2017</v>
      </c>
      <c r="O18" s="78">
        <f>'Input Data'!AT108</f>
        <v>2018</v>
      </c>
      <c r="P18" s="78">
        <f>'Input Data'!AT109</f>
        <v>2019</v>
      </c>
      <c r="Q18" s="78">
        <f>'Input Data'!AT110</f>
        <v>2020</v>
      </c>
      <c r="R18" s="78">
        <f>'Input Data'!AT111</f>
        <v>2021</v>
      </c>
      <c r="S18" s="78">
        <f>'Input Data'!AT112</f>
        <v>2022</v>
      </c>
      <c r="T18" s="78">
        <f>'Input Data'!AT113</f>
        <v>2023</v>
      </c>
      <c r="U18" s="78">
        <f>'Input Data'!AT114</f>
        <v>2024</v>
      </c>
      <c r="V18" s="78">
        <f>'Input Data'!AT115</f>
        <v>2025</v>
      </c>
      <c r="W18" s="78">
        <f>'Input Data'!AT116</f>
        <v>2026</v>
      </c>
      <c r="X18" s="78">
        <f>'Input Data'!AT117</f>
        <v>2027</v>
      </c>
      <c r="Y18" s="78">
        <f>'Input Data'!AT118</f>
        <v>2028</v>
      </c>
      <c r="Z18" s="78">
        <f>'Input Data'!AT119</f>
        <v>2029</v>
      </c>
      <c r="AA18" s="78">
        <f>'Input Data'!AT120</f>
        <v>2030</v>
      </c>
      <c r="AB18" s="78">
        <f>'Input Data'!AT121</f>
        <v>2031</v>
      </c>
      <c r="AC18" s="78">
        <f>'Input Data'!AT122</f>
        <v>2032</v>
      </c>
      <c r="AD18" s="78">
        <f>'Input Data'!AT123</f>
        <v>2033</v>
      </c>
      <c r="AE18" s="78">
        <f>'Input Data'!AT124</f>
        <v>2034</v>
      </c>
      <c r="AF18" s="78">
        <f>'Input Data'!AT125</f>
        <v>2035</v>
      </c>
      <c r="AG18" s="78">
        <f>'Input Data'!AT126</f>
        <v>2036</v>
      </c>
      <c r="AH18" s="78">
        <f>'Input Data'!AT127</f>
        <v>2037</v>
      </c>
      <c r="AI18" s="78">
        <f>'Input Data'!AT128</f>
        <v>2038</v>
      </c>
      <c r="AJ18" s="78">
        <f>'Input Data'!AT129</f>
        <v>2039</v>
      </c>
      <c r="AK18" s="78">
        <f>'Input Data'!AT130</f>
        <v>2040</v>
      </c>
      <c r="AL18" s="78">
        <f>'Input Data'!AT131</f>
        <v>2041</v>
      </c>
      <c r="AM18" s="79">
        <f>'Input Data'!AT132</f>
        <v>2042</v>
      </c>
    </row>
    <row r="19" spans="2:39" ht="22.5" customHeight="1" thickBot="1" x14ac:dyDescent="0.25">
      <c r="B19" s="1" t="s">
        <v>12</v>
      </c>
      <c r="F19" s="190" t="s">
        <v>169</v>
      </c>
      <c r="G19" s="188" t="s">
        <v>168</v>
      </c>
      <c r="H19" s="188" t="s">
        <v>167</v>
      </c>
      <c r="I19" s="188" t="str">
        <f>'Input Data'!AS102</f>
        <v>Year 1</v>
      </c>
      <c r="J19" s="188" t="str">
        <f>'Input Data'!AS103</f>
        <v>Year 2</v>
      </c>
      <c r="K19" s="188" t="str">
        <f>'Input Data'!AS104</f>
        <v>Year 3</v>
      </c>
      <c r="L19" s="188" t="str">
        <f>'Input Data'!AS105</f>
        <v>Year 4</v>
      </c>
      <c r="M19" s="188" t="str">
        <f>'Input Data'!AS106</f>
        <v>Year 5</v>
      </c>
      <c r="N19" s="188" t="str">
        <f>'Input Data'!AS107</f>
        <v>Year 6</v>
      </c>
      <c r="O19" s="188" t="str">
        <f>'Input Data'!AS108</f>
        <v>Year 7</v>
      </c>
      <c r="P19" s="188" t="str">
        <f>'Input Data'!AS109</f>
        <v>Year 8</v>
      </c>
      <c r="Q19" s="188" t="str">
        <f>'Input Data'!AS110</f>
        <v>Year 9</v>
      </c>
      <c r="R19" s="188" t="str">
        <f>'Input Data'!AS111</f>
        <v>Year 10</v>
      </c>
      <c r="S19" s="188" t="str">
        <f>'Input Data'!AS112</f>
        <v>Year 11</v>
      </c>
      <c r="T19" s="188" t="str">
        <f>'Input Data'!AS113</f>
        <v>Year 12</v>
      </c>
      <c r="U19" s="188" t="str">
        <f>'Input Data'!AS114</f>
        <v>Year 13</v>
      </c>
      <c r="V19" s="188" t="str">
        <f>'Input Data'!AS115</f>
        <v>Year 14</v>
      </c>
      <c r="W19" s="188" t="str">
        <f>'Input Data'!AS116</f>
        <v>Year 15</v>
      </c>
      <c r="X19" s="188" t="str">
        <f>'Input Data'!AS117</f>
        <v>Year 16</v>
      </c>
      <c r="Y19" s="188" t="str">
        <f>'Input Data'!AS118</f>
        <v>Year 17</v>
      </c>
      <c r="Z19" s="188" t="str">
        <f>'Input Data'!AS119</f>
        <v>Year 18</v>
      </c>
      <c r="AA19" s="188" t="str">
        <f>'Input Data'!AS120</f>
        <v>Year 19</v>
      </c>
      <c r="AB19" s="188" t="str">
        <f>'Input Data'!AS121</f>
        <v>Year 20</v>
      </c>
      <c r="AC19" s="188" t="str">
        <f>'Input Data'!AS122</f>
        <v>Year 21</v>
      </c>
      <c r="AD19" s="188" t="str">
        <f>'Input Data'!AS123</f>
        <v>Year 22</v>
      </c>
      <c r="AE19" s="188" t="str">
        <f>'Input Data'!AS124</f>
        <v>Year 23</v>
      </c>
      <c r="AF19" s="188" t="str">
        <f>'Input Data'!AS125</f>
        <v>Year 24</v>
      </c>
      <c r="AG19" s="188" t="str">
        <f>'Input Data'!AS126</f>
        <v>Year 25</v>
      </c>
      <c r="AH19" s="188" t="str">
        <f>'Input Data'!AS127</f>
        <v>Year 26</v>
      </c>
      <c r="AI19" s="188" t="str">
        <f>'Input Data'!AS128</f>
        <v>Year 27</v>
      </c>
      <c r="AJ19" s="188" t="str">
        <f>'Input Data'!AS129</f>
        <v>Year 28</v>
      </c>
      <c r="AK19" s="188" t="str">
        <f>'Input Data'!AS130</f>
        <v>Year 29</v>
      </c>
      <c r="AL19" s="188" t="str">
        <f>'Input Data'!AS131</f>
        <v>Year 30</v>
      </c>
      <c r="AM19" s="189" t="str">
        <f>'Input Data'!AS132</f>
        <v>Year 31</v>
      </c>
    </row>
    <row r="20" spans="2:39" x14ac:dyDescent="0.2">
      <c r="B20" s="1"/>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row>
    <row r="22" spans="2:39" x14ac:dyDescent="0.2">
      <c r="B22" s="1" t="s">
        <v>159</v>
      </c>
      <c r="F22" s="80"/>
      <c r="G22" s="80"/>
      <c r="H22" s="80"/>
      <c r="I22" s="80">
        <f>'Input Data'!AU102</f>
        <v>1</v>
      </c>
      <c r="J22" s="80">
        <f>'Input Data'!AU103</f>
        <v>1</v>
      </c>
      <c r="K22" s="80">
        <f>'Input Data'!AU104</f>
        <v>1</v>
      </c>
      <c r="L22" s="80">
        <f>'Input Data'!AU105</f>
        <v>1</v>
      </c>
      <c r="M22" s="80">
        <f>'Input Data'!AU106</f>
        <v>1</v>
      </c>
      <c r="N22" s="80">
        <f>'Input Data'!AU107</f>
        <v>1</v>
      </c>
      <c r="O22" s="80">
        <f>'Input Data'!AU108</f>
        <v>1</v>
      </c>
      <c r="P22" s="80">
        <f>'Input Data'!AU109</f>
        <v>1</v>
      </c>
      <c r="Q22" s="80">
        <f>'Input Data'!AU110</f>
        <v>1</v>
      </c>
      <c r="R22" s="80">
        <f>'Input Data'!AU111</f>
        <v>1</v>
      </c>
      <c r="S22" s="80">
        <f>'Input Data'!AU112</f>
        <v>1</v>
      </c>
      <c r="T22" s="80">
        <f>'Input Data'!AU113</f>
        <v>1</v>
      </c>
      <c r="U22" s="80">
        <f>'Input Data'!AU114</f>
        <v>1</v>
      </c>
      <c r="V22" s="80">
        <f>'Input Data'!AU115</f>
        <v>1</v>
      </c>
      <c r="W22" s="80">
        <f>'Input Data'!AU116</f>
        <v>1</v>
      </c>
      <c r="X22" s="80">
        <f>'Input Data'!AU117</f>
        <v>1</v>
      </c>
      <c r="Y22" s="80">
        <f>'Input Data'!AU118</f>
        <v>1</v>
      </c>
      <c r="Z22" s="80">
        <f>'Input Data'!AU119</f>
        <v>1</v>
      </c>
      <c r="AA22" s="80">
        <f>'Input Data'!AU120</f>
        <v>1</v>
      </c>
      <c r="AB22" s="80">
        <f>'Input Data'!AU121</f>
        <v>1</v>
      </c>
      <c r="AC22" s="80">
        <f>IF('Input Data'!AW89&gt;20,'Input Data'!AU122,"")</f>
        <v>1</v>
      </c>
      <c r="AD22" s="80">
        <f>IF(AD19="Year 22",'Input Data'!AU123,"")</f>
        <v>1</v>
      </c>
      <c r="AE22" s="80">
        <f>IF(AE19="Year 23",'Input Data'!AU124,"")</f>
        <v>1</v>
      </c>
      <c r="AF22" s="80">
        <f>IF(AF19="Year 24",'Input Data'!AU125,"")</f>
        <v>1</v>
      </c>
      <c r="AG22" s="80">
        <f>IF(AG19="Year 25",'Input Data'!AU126,"")</f>
        <v>1</v>
      </c>
      <c r="AH22" s="80">
        <f>IF('Input Data'!AW89&gt;25,'Input Data'!AU127,"")</f>
        <v>1</v>
      </c>
      <c r="AI22" s="80">
        <f>IF(AI19="Year 27",'Input Data'!AU128,"")</f>
        <v>1</v>
      </c>
      <c r="AJ22" s="80">
        <f>IF(AJ19="Year 28",'Input Data'!AU129,"")</f>
        <v>1</v>
      </c>
      <c r="AK22" s="80">
        <f>IF(AK19="Year 29",'Input Data'!AU130,"")</f>
        <v>1</v>
      </c>
      <c r="AL22" s="80">
        <f>IF(AL19="Year 30",'Input Data'!AU131,"")</f>
        <v>1</v>
      </c>
      <c r="AM22" s="80" t="str">
        <f>IF('Input Data'!AW89&gt;30,'Input Data'!AU132,"")</f>
        <v/>
      </c>
    </row>
    <row r="23" spans="2:39" x14ac:dyDescent="0.2">
      <c r="B23" s="1" t="s">
        <v>160</v>
      </c>
      <c r="F23" s="80"/>
      <c r="G23" s="80"/>
      <c r="H23" s="80"/>
      <c r="I23" s="80">
        <f>'Input Data'!AV102</f>
        <v>0.65</v>
      </c>
      <c r="J23" s="80">
        <f>'Input Data'!AV103</f>
        <v>0.75</v>
      </c>
      <c r="K23" s="80">
        <f>'Input Data'!AV104</f>
        <v>0.85</v>
      </c>
      <c r="L23" s="80">
        <f>'Input Data'!AV105</f>
        <v>0.85</v>
      </c>
      <c r="M23" s="80">
        <f>'Input Data'!AV106</f>
        <v>0.85</v>
      </c>
      <c r="N23" s="80">
        <f>'Input Data'!AV107</f>
        <v>0.85</v>
      </c>
      <c r="O23" s="80">
        <f>'Input Data'!AV108</f>
        <v>0.85</v>
      </c>
      <c r="P23" s="80">
        <f>'Input Data'!AV109</f>
        <v>0.85</v>
      </c>
      <c r="Q23" s="80">
        <f>'Input Data'!AV110</f>
        <v>0.85</v>
      </c>
      <c r="R23" s="80">
        <f>'Input Data'!AV111</f>
        <v>0.85</v>
      </c>
      <c r="S23" s="80">
        <f>'Input Data'!AV112</f>
        <v>0.85</v>
      </c>
      <c r="T23" s="80">
        <f>'Input Data'!AV113</f>
        <v>0.85</v>
      </c>
      <c r="U23" s="80">
        <f>'Input Data'!AV114</f>
        <v>0.85</v>
      </c>
      <c r="V23" s="80">
        <f>'Input Data'!AV115</f>
        <v>0.85</v>
      </c>
      <c r="W23" s="80">
        <f>'Input Data'!AV116</f>
        <v>0.85</v>
      </c>
      <c r="X23" s="80">
        <f>'Input Data'!AV117</f>
        <v>0.85</v>
      </c>
      <c r="Y23" s="80">
        <f>'Input Data'!AV118</f>
        <v>0.85</v>
      </c>
      <c r="Z23" s="80">
        <f>'Input Data'!AV119</f>
        <v>0.85</v>
      </c>
      <c r="AA23" s="80">
        <f>'Input Data'!AV120</f>
        <v>0.85</v>
      </c>
      <c r="AB23" s="80">
        <f>'Input Data'!AV121</f>
        <v>0.85</v>
      </c>
      <c r="AC23" s="80">
        <f>IF('Input Data'!AW89&gt;20,'Input Data'!AV122,"")</f>
        <v>0.85</v>
      </c>
      <c r="AD23" s="80">
        <f>IF(AD19="Year 22",'Input Data'!AV123,"")</f>
        <v>0.85</v>
      </c>
      <c r="AE23" s="80">
        <f>IF(AE19="Year 23",'Input Data'!AV124,"")</f>
        <v>0.85</v>
      </c>
      <c r="AF23" s="80">
        <f>IF(AF19="Year 24",'Input Data'!AV125,"")</f>
        <v>0.85</v>
      </c>
      <c r="AG23" s="80">
        <f>IF(AG19="Year 25",'Input Data'!AV126,"")</f>
        <v>0.85</v>
      </c>
      <c r="AH23" s="80">
        <f>IF('Input Data'!AW89&gt;25,'Input Data'!AV127,"")</f>
        <v>0.85</v>
      </c>
      <c r="AI23" s="80">
        <f>IF(AI19="Year 27",'Input Data'!AV128,"")</f>
        <v>0.85</v>
      </c>
      <c r="AJ23" s="80">
        <f>IF(AJ19="Year 28",'Input Data'!AV129,"")</f>
        <v>0.85</v>
      </c>
      <c r="AK23" s="80">
        <f>IF(AK19="Year 29",'Input Data'!AV130,"")</f>
        <v>0.85</v>
      </c>
      <c r="AL23" s="80">
        <f>IF(AL19="Year 30",'Input Data'!AV131,"")</f>
        <v>0.85</v>
      </c>
      <c r="AM23" s="80" t="str">
        <f>IF('Input Data'!AW89&gt;30,'Input Data'!AV132,"")</f>
        <v/>
      </c>
    </row>
    <row r="24" spans="2:39" x14ac:dyDescent="0.2">
      <c r="B24" s="2" t="s">
        <v>163</v>
      </c>
      <c r="F24" s="3"/>
      <c r="G24" s="3"/>
      <c r="H24" s="3"/>
      <c r="I24" s="101">
        <f>I22*8760*I23</f>
        <v>5694</v>
      </c>
      <c r="J24" s="101">
        <f t="shared" ref="J24:AB24" si="0">J22*8760*J23</f>
        <v>6570</v>
      </c>
      <c r="K24" s="101">
        <f t="shared" si="0"/>
        <v>7446</v>
      </c>
      <c r="L24" s="101">
        <f t="shared" si="0"/>
        <v>7446</v>
      </c>
      <c r="M24" s="101">
        <f t="shared" si="0"/>
        <v>7446</v>
      </c>
      <c r="N24" s="101">
        <f t="shared" si="0"/>
        <v>7446</v>
      </c>
      <c r="O24" s="101">
        <f t="shared" si="0"/>
        <v>7446</v>
      </c>
      <c r="P24" s="101">
        <f t="shared" si="0"/>
        <v>7446</v>
      </c>
      <c r="Q24" s="101">
        <f t="shared" si="0"/>
        <v>7446</v>
      </c>
      <c r="R24" s="101">
        <f t="shared" si="0"/>
        <v>7446</v>
      </c>
      <c r="S24" s="101">
        <f t="shared" si="0"/>
        <v>7446</v>
      </c>
      <c r="T24" s="101">
        <f t="shared" si="0"/>
        <v>7446</v>
      </c>
      <c r="U24" s="101">
        <f t="shared" si="0"/>
        <v>7446</v>
      </c>
      <c r="V24" s="101">
        <f t="shared" si="0"/>
        <v>7446</v>
      </c>
      <c r="W24" s="101">
        <f t="shared" si="0"/>
        <v>7446</v>
      </c>
      <c r="X24" s="101">
        <f t="shared" si="0"/>
        <v>7446</v>
      </c>
      <c r="Y24" s="101">
        <f t="shared" si="0"/>
        <v>7446</v>
      </c>
      <c r="Z24" s="101">
        <f t="shared" si="0"/>
        <v>7446</v>
      </c>
      <c r="AA24" s="101">
        <f t="shared" si="0"/>
        <v>7446</v>
      </c>
      <c r="AB24" s="101">
        <f t="shared" si="0"/>
        <v>7446</v>
      </c>
      <c r="AC24" s="101">
        <f>IF('Input Data'!AW89&gt;20, AC22*8760*AC23,"")</f>
        <v>7446</v>
      </c>
      <c r="AD24" s="101">
        <f>IF(AD19="Year 22",AD22*8760*AD23,"")</f>
        <v>7446</v>
      </c>
      <c r="AE24" s="101">
        <f>IF(AE19="Year 23",AE22*8760*AE23,"")</f>
        <v>7446</v>
      </c>
      <c r="AF24" s="101">
        <f>IF(AF19="Year 24",AF22*8760*AF23,"")</f>
        <v>7446</v>
      </c>
      <c r="AG24" s="101">
        <f>IF(AG19="Year 25",AG22*8760*AG23,"")</f>
        <v>7446</v>
      </c>
      <c r="AH24" s="101">
        <f>IF('Input Data'!AW89&gt;25,AH22*8760*AH23,"")</f>
        <v>7446</v>
      </c>
      <c r="AI24" s="101">
        <f>IF(AI19="Year 27",AI22*8760*AI23,"")</f>
        <v>7446</v>
      </c>
      <c r="AJ24" s="101">
        <f>IF(AJ19="Year 28",AJ22*8760*AJ23,"")</f>
        <v>7446</v>
      </c>
      <c r="AK24" s="101">
        <f>IF(AK19="Year 29",AK22*8760*AK23,"")</f>
        <v>7446</v>
      </c>
      <c r="AL24" s="101">
        <f>IF(AL19="Year 30",AL22*8760*AL23,"")</f>
        <v>7446</v>
      </c>
      <c r="AM24" s="101" t="str">
        <f>IF('Input Data'!AW89&gt;30,AM22*8760*AM23,"")</f>
        <v/>
      </c>
    </row>
    <row r="25" spans="2:39" x14ac:dyDescent="0.2">
      <c r="B25" s="1" t="s">
        <v>15</v>
      </c>
      <c r="F25" s="80">
        <f>'Input Data'!AW96</f>
        <v>0.25</v>
      </c>
      <c r="G25" s="80">
        <f>'Input Data'!AW97</f>
        <v>0.45</v>
      </c>
      <c r="H25" s="80">
        <f>'Input Data'!AW98</f>
        <v>0.3</v>
      </c>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9" x14ac:dyDescent="0.2">
      <c r="B26" s="1" t="s">
        <v>16</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2:39" x14ac:dyDescent="0.2">
      <c r="B27" s="2" t="s">
        <v>17</v>
      </c>
      <c r="F27" s="3"/>
      <c r="G27" s="3"/>
      <c r="H27" s="3"/>
      <c r="I27" s="87">
        <f>$E$6*I24*$R$5/1000</f>
        <v>334.1314938864852</v>
      </c>
      <c r="J27" s="87">
        <f t="shared" ref="J27:AB27" si="1">$E$6*J24*$R$5/1000</f>
        <v>385.53633909979061</v>
      </c>
      <c r="K27" s="87">
        <f t="shared" si="1"/>
        <v>436.94118431309607</v>
      </c>
      <c r="L27" s="87">
        <f t="shared" si="1"/>
        <v>436.94118431309607</v>
      </c>
      <c r="M27" s="87">
        <f t="shared" si="1"/>
        <v>436.94118431309607</v>
      </c>
      <c r="N27" s="87">
        <f t="shared" si="1"/>
        <v>436.94118431309607</v>
      </c>
      <c r="O27" s="87">
        <f t="shared" si="1"/>
        <v>436.94118431309607</v>
      </c>
      <c r="P27" s="87">
        <f t="shared" si="1"/>
        <v>436.94118431309607</v>
      </c>
      <c r="Q27" s="87">
        <f t="shared" si="1"/>
        <v>436.94118431309607</v>
      </c>
      <c r="R27" s="87">
        <f t="shared" si="1"/>
        <v>436.94118431309607</v>
      </c>
      <c r="S27" s="87">
        <f t="shared" si="1"/>
        <v>436.94118431309607</v>
      </c>
      <c r="T27" s="87">
        <f t="shared" si="1"/>
        <v>436.94118431309607</v>
      </c>
      <c r="U27" s="87">
        <f t="shared" si="1"/>
        <v>436.94118431309607</v>
      </c>
      <c r="V27" s="87">
        <f t="shared" si="1"/>
        <v>436.94118431309607</v>
      </c>
      <c r="W27" s="87">
        <f t="shared" si="1"/>
        <v>436.94118431309607</v>
      </c>
      <c r="X27" s="87">
        <f t="shared" si="1"/>
        <v>436.94118431309607</v>
      </c>
      <c r="Y27" s="87">
        <f t="shared" si="1"/>
        <v>436.94118431309607</v>
      </c>
      <c r="Z27" s="87">
        <f t="shared" si="1"/>
        <v>436.94118431309607</v>
      </c>
      <c r="AA27" s="87">
        <f t="shared" si="1"/>
        <v>436.94118431309607</v>
      </c>
      <c r="AB27" s="87">
        <f t="shared" si="1"/>
        <v>436.94118431309607</v>
      </c>
      <c r="AC27" s="87">
        <f>IF('Input Data'!AW89&gt;20,$E$6*AC24*$R$5/1000,"")</f>
        <v>436.94118431309607</v>
      </c>
      <c r="AD27" s="87">
        <f>IF(AD19="Year 22",$E$6*AD24*$R$5/1000,"")</f>
        <v>436.94118431309607</v>
      </c>
      <c r="AE27" s="87">
        <f>IF(AE19="Year 23",$E$6*AE24*$R$5/1000,"")</f>
        <v>436.94118431309607</v>
      </c>
      <c r="AF27" s="87">
        <f>IF(AF19="Year 24",$E$6*AF24*$R$5/1000,"")</f>
        <v>436.94118431309607</v>
      </c>
      <c r="AG27" s="87">
        <f>IF(AG19="Year 25",$E$6*AG24*$R$5/1000,"")</f>
        <v>436.94118431309607</v>
      </c>
      <c r="AH27" s="87">
        <f>IF('Input Data'!AW89&gt;25,$E$6*AH24*$R$5/1000,"")</f>
        <v>436.94118431309607</v>
      </c>
      <c r="AI27" s="87">
        <f>IF(AI19="Year 27",$E$6*AI24*$R$5/1000,"")</f>
        <v>436.94118431309607</v>
      </c>
      <c r="AJ27" s="87">
        <f>IF(AJ19="Year 28",$E$6*AJ24*$R$5/1000,"")</f>
        <v>436.94118431309607</v>
      </c>
      <c r="AK27" s="87">
        <f>IF(AK19="Year 29",$E$6*AK24*$R$5/1000,"")</f>
        <v>436.94118431309607</v>
      </c>
      <c r="AL27" s="87">
        <f>IF(AL19="Year 30",$E$6*AL24*$R$5/1000,"")</f>
        <v>436.94118431309607</v>
      </c>
      <c r="AM27" s="87" t="str">
        <f>IF('Input Data'!AW89&gt;30,$E$6*AM24*$R$5/1000,"")</f>
        <v/>
      </c>
    </row>
    <row r="28" spans="2:39" x14ac:dyDescent="0.2">
      <c r="B28" s="1" t="s">
        <v>19</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2:39" x14ac:dyDescent="0.2">
      <c r="B29" s="2" t="s">
        <v>157</v>
      </c>
      <c r="F29" s="3"/>
      <c r="G29" s="3"/>
      <c r="H29" s="3"/>
      <c r="I29" s="88">
        <f>$M$5*$E$5*I24/1000000</f>
        <v>95.118269999999995</v>
      </c>
      <c r="J29" s="88">
        <f t="shared" ref="J29:AB29" si="2">$M$5*$E$5*J24/1000000</f>
        <v>109.75185</v>
      </c>
      <c r="K29" s="88">
        <f t="shared" si="2"/>
        <v>124.38543</v>
      </c>
      <c r="L29" s="88">
        <f t="shared" si="2"/>
        <v>124.38543</v>
      </c>
      <c r="M29" s="88">
        <f t="shared" si="2"/>
        <v>124.38543</v>
      </c>
      <c r="N29" s="88">
        <f t="shared" si="2"/>
        <v>124.38543</v>
      </c>
      <c r="O29" s="88">
        <f t="shared" si="2"/>
        <v>124.38543</v>
      </c>
      <c r="P29" s="88">
        <f t="shared" si="2"/>
        <v>124.38543</v>
      </c>
      <c r="Q29" s="88">
        <f t="shared" si="2"/>
        <v>124.38543</v>
      </c>
      <c r="R29" s="88">
        <f t="shared" si="2"/>
        <v>124.38543</v>
      </c>
      <c r="S29" s="88">
        <f t="shared" si="2"/>
        <v>124.38543</v>
      </c>
      <c r="T29" s="88">
        <f t="shared" si="2"/>
        <v>124.38543</v>
      </c>
      <c r="U29" s="88">
        <f t="shared" si="2"/>
        <v>124.38543</v>
      </c>
      <c r="V29" s="88">
        <f t="shared" si="2"/>
        <v>124.38543</v>
      </c>
      <c r="W29" s="88">
        <f t="shared" si="2"/>
        <v>124.38543</v>
      </c>
      <c r="X29" s="88">
        <f t="shared" si="2"/>
        <v>124.38543</v>
      </c>
      <c r="Y29" s="88">
        <f t="shared" si="2"/>
        <v>124.38543</v>
      </c>
      <c r="Z29" s="88">
        <f t="shared" si="2"/>
        <v>124.38543</v>
      </c>
      <c r="AA29" s="88">
        <f t="shared" si="2"/>
        <v>124.38543</v>
      </c>
      <c r="AB29" s="88">
        <f t="shared" si="2"/>
        <v>124.38543</v>
      </c>
      <c r="AC29" s="88">
        <f>IF('Input Data'!AW89&gt;20,$M$5*$E$5*AC24/1000000,"")</f>
        <v>124.38543</v>
      </c>
      <c r="AD29" s="88">
        <f>IF(AD19="Year 22",$M$5*$E$5*AD24/1000000,"")</f>
        <v>124.38543</v>
      </c>
      <c r="AE29" s="88">
        <f>IF(AE19="Year 23",$M$5*$E$5*AE24/1000000,"")</f>
        <v>124.38543</v>
      </c>
      <c r="AF29" s="88">
        <f>IF(AF19="Year 24",$M$5*$E$5*AF24/1000000,"")</f>
        <v>124.38543</v>
      </c>
      <c r="AG29" s="88">
        <f>IF(AG19="Year 25",$M$5*$E$5*AG24/1000000,"")</f>
        <v>124.38543</v>
      </c>
      <c r="AH29" s="88">
        <f>IF('Input Data'!AW89&gt;25,$M$5*$E$5*AH24/1000000,"")</f>
        <v>124.38543</v>
      </c>
      <c r="AI29" s="88">
        <f>IF(AI19="Year 27",$M$5*$E$5*AI24/1000000,"")</f>
        <v>124.38543</v>
      </c>
      <c r="AJ29" s="88">
        <f>IF(AJ19="Year 28",$M$5*$E$5*AJ24/1000000,"")</f>
        <v>124.38543</v>
      </c>
      <c r="AK29" s="88">
        <f>IF(AK19="Year 29",$M$5*$E$5*AK24/1000000,"")</f>
        <v>124.38543</v>
      </c>
      <c r="AL29" s="88">
        <f>IF(AL19="Year 30",$M$5*$E$5*AL24/1000000,"")</f>
        <v>124.38543</v>
      </c>
      <c r="AM29" s="88" t="str">
        <f>IF('Input Data'!AW89&gt;30,$M$5*$E$5*AM24/1000000,"")</f>
        <v/>
      </c>
    </row>
    <row r="30" spans="2:39" x14ac:dyDescent="0.2">
      <c r="B30" s="2" t="s">
        <v>20</v>
      </c>
      <c r="F30" s="3"/>
      <c r="G30" s="3"/>
      <c r="H30" s="3"/>
      <c r="I30" s="88">
        <f>$M$6</f>
        <v>44.5</v>
      </c>
      <c r="J30" s="88">
        <f t="shared" ref="J30:AB30" si="3">$M$6</f>
        <v>44.5</v>
      </c>
      <c r="K30" s="88">
        <f t="shared" si="3"/>
        <v>44.5</v>
      </c>
      <c r="L30" s="88">
        <f t="shared" si="3"/>
        <v>44.5</v>
      </c>
      <c r="M30" s="88">
        <f t="shared" si="3"/>
        <v>44.5</v>
      </c>
      <c r="N30" s="88">
        <f t="shared" si="3"/>
        <v>44.5</v>
      </c>
      <c r="O30" s="88">
        <f t="shared" si="3"/>
        <v>44.5</v>
      </c>
      <c r="P30" s="88">
        <f t="shared" si="3"/>
        <v>44.5</v>
      </c>
      <c r="Q30" s="88">
        <f t="shared" si="3"/>
        <v>44.5</v>
      </c>
      <c r="R30" s="88">
        <f t="shared" si="3"/>
        <v>44.5</v>
      </c>
      <c r="S30" s="88">
        <f t="shared" si="3"/>
        <v>44.5</v>
      </c>
      <c r="T30" s="88">
        <f t="shared" si="3"/>
        <v>44.5</v>
      </c>
      <c r="U30" s="88">
        <f t="shared" si="3"/>
        <v>44.5</v>
      </c>
      <c r="V30" s="88">
        <f t="shared" si="3"/>
        <v>44.5</v>
      </c>
      <c r="W30" s="88">
        <f t="shared" si="3"/>
        <v>44.5</v>
      </c>
      <c r="X30" s="88">
        <f t="shared" si="3"/>
        <v>44.5</v>
      </c>
      <c r="Y30" s="88">
        <f t="shared" si="3"/>
        <v>44.5</v>
      </c>
      <c r="Z30" s="88">
        <f t="shared" si="3"/>
        <v>44.5</v>
      </c>
      <c r="AA30" s="88">
        <f t="shared" si="3"/>
        <v>44.5</v>
      </c>
      <c r="AB30" s="88">
        <f t="shared" si="3"/>
        <v>44.5</v>
      </c>
      <c r="AC30" s="88">
        <f>IF('Input Data'!AW89&gt;20,$M$6,"")</f>
        <v>44.5</v>
      </c>
      <c r="AD30" s="88">
        <f>IF(AD19="Year 22",$M$6,"")</f>
        <v>44.5</v>
      </c>
      <c r="AE30" s="88">
        <f>IF(AE19="Year 23",$M$6,"")</f>
        <v>44.5</v>
      </c>
      <c r="AF30" s="88">
        <f>IF(AF19="Year 24",$M$6,"")</f>
        <v>44.5</v>
      </c>
      <c r="AG30" s="88">
        <f>IF(AG19="Year 25",$M$6,"")</f>
        <v>44.5</v>
      </c>
      <c r="AH30" s="88">
        <f>IF('Input Data'!AW89&gt;25,$M$6,"")</f>
        <v>44.5</v>
      </c>
      <c r="AI30" s="88">
        <f>IF(AI19="Year 27",$M$6,"")</f>
        <v>44.5</v>
      </c>
      <c r="AJ30" s="88">
        <f>IF(AJ19="Year 28",$M$6,"")</f>
        <v>44.5</v>
      </c>
      <c r="AK30" s="88">
        <f>IF(AK19="Year 29",$M$6,"")</f>
        <v>44.5</v>
      </c>
      <c r="AL30" s="88">
        <f>IF(AL19="Year 30",$M$6,"")</f>
        <v>44.5</v>
      </c>
      <c r="AM30" s="88" t="str">
        <f>IF('Input Data'!AW89&gt;30,$M$6,"")</f>
        <v/>
      </c>
    </row>
    <row r="31" spans="2:39" x14ac:dyDescent="0.2">
      <c r="B31" s="2" t="s">
        <v>21</v>
      </c>
      <c r="F31" s="3"/>
      <c r="G31" s="3"/>
      <c r="H31" s="3"/>
      <c r="I31" s="88">
        <f t="shared" ref="I31:AB31" si="4">$N$12</f>
        <v>8.32</v>
      </c>
      <c r="J31" s="88">
        <f t="shared" si="4"/>
        <v>8.32</v>
      </c>
      <c r="K31" s="88">
        <f t="shared" si="4"/>
        <v>8.32</v>
      </c>
      <c r="L31" s="88">
        <f t="shared" si="4"/>
        <v>8.32</v>
      </c>
      <c r="M31" s="88">
        <f t="shared" si="4"/>
        <v>8.32</v>
      </c>
      <c r="N31" s="88">
        <f t="shared" si="4"/>
        <v>8.32</v>
      </c>
      <c r="O31" s="88">
        <f t="shared" si="4"/>
        <v>8.32</v>
      </c>
      <c r="P31" s="88">
        <f t="shared" si="4"/>
        <v>8.32</v>
      </c>
      <c r="Q31" s="88">
        <f t="shared" si="4"/>
        <v>8.32</v>
      </c>
      <c r="R31" s="88">
        <f t="shared" si="4"/>
        <v>8.32</v>
      </c>
      <c r="S31" s="88">
        <f t="shared" si="4"/>
        <v>8.32</v>
      </c>
      <c r="T31" s="88">
        <f t="shared" si="4"/>
        <v>8.32</v>
      </c>
      <c r="U31" s="88">
        <f t="shared" si="4"/>
        <v>8.32</v>
      </c>
      <c r="V31" s="88">
        <f t="shared" si="4"/>
        <v>8.32</v>
      </c>
      <c r="W31" s="88">
        <f t="shared" si="4"/>
        <v>8.32</v>
      </c>
      <c r="X31" s="88">
        <f t="shared" si="4"/>
        <v>8.32</v>
      </c>
      <c r="Y31" s="88">
        <f t="shared" si="4"/>
        <v>8.32</v>
      </c>
      <c r="Z31" s="88">
        <f t="shared" si="4"/>
        <v>8.32</v>
      </c>
      <c r="AA31" s="88">
        <f t="shared" si="4"/>
        <v>8.32</v>
      </c>
      <c r="AB31" s="88">
        <f t="shared" si="4"/>
        <v>8.32</v>
      </c>
      <c r="AC31" s="88">
        <f>IF('Input Data'!AW89&gt;20,$N$12,"")</f>
        <v>8.32</v>
      </c>
      <c r="AD31" s="88">
        <f>IF(AD19="Year 22",$N$12,"")</f>
        <v>8.32</v>
      </c>
      <c r="AE31" s="88">
        <f>IF(AE19="Year 23",$N$12,"")</f>
        <v>8.32</v>
      </c>
      <c r="AF31" s="88">
        <f>IF(AF19="Year 24",$N$12,"")</f>
        <v>8.32</v>
      </c>
      <c r="AG31" s="88">
        <f>IF(AG19="Year 25",$N$12,"")</f>
        <v>8.32</v>
      </c>
      <c r="AH31" s="88">
        <f>IF('Input Data'!AW89&gt;25,$N$12,"")</f>
        <v>8.32</v>
      </c>
      <c r="AI31" s="88">
        <f>IF(AI19="Year 27",$N$12,"")</f>
        <v>8.32</v>
      </c>
      <c r="AJ31" s="88">
        <f>IF(AJ19="Year 28",$N$12,"")</f>
        <v>8.32</v>
      </c>
      <c r="AK31" s="88">
        <f>IF(AK19="Year 29",$N$12,"")</f>
        <v>8.32</v>
      </c>
      <c r="AL31" s="88">
        <f>IF(AL19="Year 30",$N$12,"")</f>
        <v>8.32</v>
      </c>
      <c r="AM31" s="88" t="str">
        <f>IF('Input Data'!AW89&gt;30,$N$12,"")</f>
        <v/>
      </c>
    </row>
    <row r="32" spans="2:39" x14ac:dyDescent="0.2">
      <c r="B32" s="2" t="s">
        <v>22</v>
      </c>
      <c r="F32" s="3"/>
      <c r="G32" s="3"/>
      <c r="H32" s="3"/>
      <c r="I32" s="88">
        <f>I22*I23*'Input Data'!$AW$74/0.85</f>
        <v>7.6470588235294124E-2</v>
      </c>
      <c r="J32" s="88">
        <f>J22*J23*'Input Data'!$AW$74/0.85</f>
        <v>8.8235294117647078E-2</v>
      </c>
      <c r="K32" s="88">
        <f>K22*K23*'Input Data'!$AW$74/0.85</f>
        <v>0.1</v>
      </c>
      <c r="L32" s="88">
        <f>L22*L23*'Input Data'!$AW$74/0.85</f>
        <v>0.1</v>
      </c>
      <c r="M32" s="88">
        <f>M22*M23*'Input Data'!$AW$74/0.85</f>
        <v>0.1</v>
      </c>
      <c r="N32" s="88">
        <f>N22*N23*'Input Data'!$AW$74/0.85</f>
        <v>0.1</v>
      </c>
      <c r="O32" s="88">
        <f>O22*O23*'Input Data'!$AW$74/0.85</f>
        <v>0.1</v>
      </c>
      <c r="P32" s="88">
        <f>P22*P23*'Input Data'!$AW$74/0.85</f>
        <v>0.1</v>
      </c>
      <c r="Q32" s="88">
        <f>Q22*Q23*'Input Data'!$AW$74/0.85</f>
        <v>0.1</v>
      </c>
      <c r="R32" s="88">
        <f>R22*R23*'Input Data'!$AW$74/0.85</f>
        <v>0.1</v>
      </c>
      <c r="S32" s="88">
        <f>S22*S23*'Input Data'!$AW$74/0.85</f>
        <v>0.1</v>
      </c>
      <c r="T32" s="88">
        <f>T22*T23*'Input Data'!$AW$74/0.85</f>
        <v>0.1</v>
      </c>
      <c r="U32" s="88">
        <f>U22*U23*'Input Data'!$AW$74/0.85</f>
        <v>0.1</v>
      </c>
      <c r="V32" s="88">
        <f>V22*V23*'Input Data'!$AW$74/0.85</f>
        <v>0.1</v>
      </c>
      <c r="W32" s="88">
        <f>W22*W23*'Input Data'!$AW$74/0.85</f>
        <v>0.1</v>
      </c>
      <c r="X32" s="88">
        <f>X22*X23*'Input Data'!$AW$74/0.85</f>
        <v>0.1</v>
      </c>
      <c r="Y32" s="88">
        <f>Y22*Y23*'Input Data'!$AW$74/0.85</f>
        <v>0.1</v>
      </c>
      <c r="Z32" s="88">
        <f>Z22*Z23*'Input Data'!$AW$74/0.85</f>
        <v>0.1</v>
      </c>
      <c r="AA32" s="88">
        <f>AA22*AA23*'Input Data'!$AW$74/0.85</f>
        <v>0.1</v>
      </c>
      <c r="AB32" s="88">
        <f>IF(AB19="Year 20",AB22*AB23*'Input Data'!$AW$74/0.85,"")</f>
        <v>0.1</v>
      </c>
      <c r="AC32" s="88">
        <f>IF('Input Data'!AW89&gt;20,AC22*AC23*'Input Data'!$AW$74/0.85,"")</f>
        <v>0.1</v>
      </c>
      <c r="AD32" s="88">
        <f>IF(AD19="Year 22",AD22*AD23*'Input Data'!$AW$74/0.85,"")</f>
        <v>0.1</v>
      </c>
      <c r="AE32" s="88">
        <f>IF(AE19="Year 23",AE22*AE23*'Input Data'!$AW$74/0.85,"")</f>
        <v>0.1</v>
      </c>
      <c r="AF32" s="88">
        <f>IF(AF19="Year 24",AF22*AF23*'Input Data'!$AW$74/0.85,"")</f>
        <v>0.1</v>
      </c>
      <c r="AG32" s="88">
        <f>IF(AG19="Year 25",AG22*AG23*'Input Data'!$AW$74/0.85,"")</f>
        <v>0.1</v>
      </c>
      <c r="AH32" s="88">
        <f>IF('Input Data'!AW89&gt;25,AH22*AH23*'Input Data'!$AW$74/0.85,"")</f>
        <v>0.1</v>
      </c>
      <c r="AI32" s="88">
        <f>IF(AI19="Year 27",AI22*AI23*'Input Data'!$AW$74/0.85,"")</f>
        <v>0.1</v>
      </c>
      <c r="AJ32" s="88">
        <f>IF(AJ19="Year 28",AJ22*AJ23*'Input Data'!$AW$74/0.85,"")</f>
        <v>0.1</v>
      </c>
      <c r="AK32" s="88">
        <f>IF(AK19="Year 29",AK22*AK23*'Input Data'!$AW$74/0.85,"")</f>
        <v>0.1</v>
      </c>
      <c r="AL32" s="88">
        <f>IF(AL19="Year 30",AL22*AL23*'Input Data'!$AW$74/0.85,"")</f>
        <v>0.1</v>
      </c>
      <c r="AM32" s="88" t="str">
        <f>IF('Input Data'!AW89&gt;30,AM22*AM23*'Input Data'!$AW$74/0.85,"")</f>
        <v/>
      </c>
    </row>
    <row r="33" spans="2:40" x14ac:dyDescent="0.2">
      <c r="B33" s="2" t="s">
        <v>23</v>
      </c>
      <c r="F33" s="3"/>
      <c r="G33" s="3"/>
      <c r="H33" s="3"/>
      <c r="I33" s="88">
        <f>I24*'Input Data'!$AW$40*'Input Data'!$AW$73/1000000</f>
        <v>1.1274120000000001</v>
      </c>
      <c r="J33" s="88">
        <f>J24*'Input Data'!$AW$40*'Input Data'!$AW$73/1000000</f>
        <v>1.3008599999999999</v>
      </c>
      <c r="K33" s="88">
        <f>K24*'Input Data'!$AW$40*'Input Data'!$AW$73/1000000</f>
        <v>1.474308</v>
      </c>
      <c r="L33" s="88">
        <f>L24*'Input Data'!$AW$40*'Input Data'!$AW$73/1000000</f>
        <v>1.474308</v>
      </c>
      <c r="M33" s="88">
        <f>M24*'Input Data'!$AW$40*'Input Data'!$AW$73/1000000</f>
        <v>1.474308</v>
      </c>
      <c r="N33" s="88">
        <f>N24*'Input Data'!$AW$40*'Input Data'!$AW$73/1000000</f>
        <v>1.474308</v>
      </c>
      <c r="O33" s="88">
        <f>O24*'Input Data'!$AW$40*'Input Data'!$AW$73/1000000</f>
        <v>1.474308</v>
      </c>
      <c r="P33" s="88">
        <f>P24*'Input Data'!$AW$40*'Input Data'!$AW$73/1000000</f>
        <v>1.474308</v>
      </c>
      <c r="Q33" s="88">
        <f>Q24*'Input Data'!$AW$40*'Input Data'!$AW$73/1000000</f>
        <v>1.474308</v>
      </c>
      <c r="R33" s="88">
        <f>R24*'Input Data'!$AW$40*'Input Data'!$AW$73/1000000</f>
        <v>1.474308</v>
      </c>
      <c r="S33" s="88">
        <f>S24*'Input Data'!$AW$40*'Input Data'!$AW$73/1000000</f>
        <v>1.474308</v>
      </c>
      <c r="T33" s="88">
        <f>T24*'Input Data'!$AW$40*'Input Data'!$AW$73/1000000</f>
        <v>1.474308</v>
      </c>
      <c r="U33" s="88">
        <f>U24*'Input Data'!$AW$40*'Input Data'!$AW$73/1000000</f>
        <v>1.474308</v>
      </c>
      <c r="V33" s="88">
        <f>V24*'Input Data'!$AW$40*'Input Data'!$AW$73/1000000</f>
        <v>1.474308</v>
      </c>
      <c r="W33" s="88">
        <f>W24*'Input Data'!$AW$40*'Input Data'!$AW$73/1000000</f>
        <v>1.474308</v>
      </c>
      <c r="X33" s="88">
        <f>X24*'Input Data'!$AW$40*'Input Data'!$AW$73/1000000</f>
        <v>1.474308</v>
      </c>
      <c r="Y33" s="88">
        <f>Y24*'Input Data'!$AW$40*'Input Data'!$AW$73/1000000</f>
        <v>1.474308</v>
      </c>
      <c r="Z33" s="88">
        <f>Z24*'Input Data'!$AW$40*'Input Data'!$AW$73/1000000</f>
        <v>1.474308</v>
      </c>
      <c r="AA33" s="88">
        <f>AA24*'Input Data'!$AW$40*'Input Data'!$AW$73/1000000</f>
        <v>1.474308</v>
      </c>
      <c r="AB33" s="88">
        <f>IF(AB19="Year 20",AB24*'Input Data'!$AW$40*'Input Data'!$AW$73/1000000,"")</f>
        <v>1.474308</v>
      </c>
      <c r="AC33" s="88">
        <f>IF('Input Data'!AW89&gt;20,AC24*'Input Data'!$AW$40*'Input Data'!$AW$73/1000000,"")</f>
        <v>1.474308</v>
      </c>
      <c r="AD33" s="88">
        <f>IF(AD19="Year 22",AD24*'Input Data'!$AW$40*'Input Data'!$AW$73/1000000,"")</f>
        <v>1.474308</v>
      </c>
      <c r="AE33" s="88">
        <f>IF(AE19="Year 23",AE24*'Input Data'!$AW$40*'Input Data'!$AW$73/1000000,"")</f>
        <v>1.474308</v>
      </c>
      <c r="AF33" s="88">
        <f>IF(AF19="Year 24",AF24*'Input Data'!$AW$40*'Input Data'!$AW$73/1000000,"")</f>
        <v>1.474308</v>
      </c>
      <c r="AG33" s="88">
        <f>IF(AG19="Year 25",AG24*'Input Data'!$AW$40*'Input Data'!$AW$73/1000000,"")</f>
        <v>1.474308</v>
      </c>
      <c r="AH33" s="88">
        <f>IF('Input Data'!AW89&gt;25,AH24*'Input Data'!$AW$40*'Input Data'!$AW$73/1000000,"")</f>
        <v>1.474308</v>
      </c>
      <c r="AI33" s="88">
        <f>IF(AI19="Year 27",AI24*'Input Data'!$AW$40*'Input Data'!$AW$73/1000000,"")</f>
        <v>1.474308</v>
      </c>
      <c r="AJ33" s="88">
        <f>IF(AJ19="Year 28",AJ24*'Input Data'!$AW$40*'Input Data'!$AW$73/1000000,"")</f>
        <v>1.474308</v>
      </c>
      <c r="AK33" s="88">
        <f>IF(AK19="Year 29",AK24*'Input Data'!$AW$40*'Input Data'!$AW$73/1000000,"")</f>
        <v>1.474308</v>
      </c>
      <c r="AL33" s="88">
        <f>IF(AL19="Year 30",AL24*'Input Data'!$AW$40*'Input Data'!$AW$73/1000000,"")</f>
        <v>1.474308</v>
      </c>
      <c r="AM33" s="88" t="str">
        <f>IF('Input Data'!AW89&gt;30,AM24*'Input Data'!$AW$40*'Input Data'!$AW$73/1000000,"")</f>
        <v/>
      </c>
    </row>
    <row r="34" spans="2:40" x14ac:dyDescent="0.2">
      <c r="B34" s="2" t="s">
        <v>124</v>
      </c>
      <c r="F34" s="3"/>
      <c r="G34" s="3"/>
      <c r="H34" s="3"/>
      <c r="I34" s="88">
        <f>I5*R10</f>
        <v>27.094000000000001</v>
      </c>
      <c r="J34" s="88">
        <f>I5*R10</f>
        <v>27.094000000000001</v>
      </c>
      <c r="K34" s="88">
        <f>I5*R10</f>
        <v>27.094000000000001</v>
      </c>
      <c r="L34" s="88">
        <f>I5*R10</f>
        <v>27.094000000000001</v>
      </c>
      <c r="M34" s="88">
        <f>I5*R10</f>
        <v>27.094000000000001</v>
      </c>
      <c r="N34" s="88">
        <f>I5*R10</f>
        <v>27.094000000000001</v>
      </c>
      <c r="O34" s="88">
        <f>I5*R10</f>
        <v>27.094000000000001</v>
      </c>
      <c r="P34" s="88">
        <f>I5*R10</f>
        <v>27.094000000000001</v>
      </c>
      <c r="Q34" s="88">
        <f>I5*R10</f>
        <v>27.094000000000001</v>
      </c>
      <c r="R34" s="88">
        <f>I5*R10</f>
        <v>27.094000000000001</v>
      </c>
      <c r="S34" s="88">
        <f>I5*R10</f>
        <v>27.094000000000001</v>
      </c>
      <c r="T34" s="88">
        <f>I5*R10</f>
        <v>27.094000000000001</v>
      </c>
      <c r="U34" s="88">
        <f>I5*R10</f>
        <v>27.094000000000001</v>
      </c>
      <c r="V34" s="88">
        <f>I5*R10</f>
        <v>27.094000000000001</v>
      </c>
      <c r="W34" s="88">
        <f>I5*R10</f>
        <v>27.094000000000001</v>
      </c>
      <c r="X34" s="88">
        <f>I5*R10</f>
        <v>27.094000000000001</v>
      </c>
      <c r="Y34" s="88">
        <f>I5*R10</f>
        <v>27.094000000000001</v>
      </c>
      <c r="Z34" s="88">
        <f>I5*R10</f>
        <v>27.094000000000001</v>
      </c>
      <c r="AA34" s="88">
        <f>I5*R10</f>
        <v>27.094000000000001</v>
      </c>
      <c r="AB34" s="88">
        <f>I5*R10</f>
        <v>27.094000000000001</v>
      </c>
      <c r="AC34" s="88">
        <f>IF('Input Data'!AW89&gt;20,I5*R10,"")</f>
        <v>27.094000000000001</v>
      </c>
      <c r="AD34" s="88">
        <f>IF(AD19="Year 22",R10*I5,"")</f>
        <v>27.094000000000001</v>
      </c>
      <c r="AE34" s="88">
        <f>IF(AE19="Year 23",I5*R10,"")</f>
        <v>27.094000000000001</v>
      </c>
      <c r="AF34" s="88">
        <f>IF(AF19="Year 24",I5*R10,"")</f>
        <v>27.094000000000001</v>
      </c>
      <c r="AG34" s="88">
        <f>IF(AG19="Year 25",I5*R10,"")</f>
        <v>27.094000000000001</v>
      </c>
      <c r="AH34" s="88">
        <f>IF('Input Data'!AW89&gt;25,I5*R10,"")</f>
        <v>27.094000000000001</v>
      </c>
      <c r="AI34" s="88">
        <f>IF(AI19="Year 27",I5*R10,"")</f>
        <v>27.094000000000001</v>
      </c>
      <c r="AJ34" s="88">
        <f>IF(AJ19="Year 28",I5*R10,"")</f>
        <v>27.094000000000001</v>
      </c>
      <c r="AK34" s="88">
        <f>IF(AK19="Year 29",I5*R10,"")</f>
        <v>27.094000000000001</v>
      </c>
      <c r="AL34" s="88">
        <f>IF(AL19="Year 30",I5*R10,"")</f>
        <v>27.094000000000001</v>
      </c>
      <c r="AM34" s="88" t="str">
        <f>IF('Input Data'!AW89&gt;30,I5*R10,"")</f>
        <v/>
      </c>
    </row>
    <row r="35" spans="2:40" ht="15.75" x14ac:dyDescent="0.3">
      <c r="B35" s="2" t="s">
        <v>197</v>
      </c>
      <c r="F35" s="3"/>
      <c r="G35" s="3"/>
      <c r="H35" s="3"/>
      <c r="I35" s="88">
        <f>'Input Data'!$AW$33*'Input Data'!$AW$77*I24/1000000</f>
        <v>0</v>
      </c>
      <c r="J35" s="88">
        <f>'Input Data'!$AW$33*'Input Data'!$AW$77*J24/1000000</f>
        <v>0</v>
      </c>
      <c r="K35" s="88">
        <f>'Input Data'!$AW$33*'Input Data'!$AW$77*K24/1000000</f>
        <v>0</v>
      </c>
      <c r="L35" s="88">
        <f>'Input Data'!$AW$33*'Input Data'!$AW$77*L24/1000000</f>
        <v>0</v>
      </c>
      <c r="M35" s="88">
        <f>'Input Data'!$AW$33*'Input Data'!$AW$77*M24/1000000</f>
        <v>0</v>
      </c>
      <c r="N35" s="88">
        <f>'Input Data'!$AW$33*'Input Data'!$AW$77*N24/1000000</f>
        <v>0</v>
      </c>
      <c r="O35" s="88">
        <f>'Input Data'!$AW$33*'Input Data'!$AW$77*O24/1000000</f>
        <v>0</v>
      </c>
      <c r="P35" s="88">
        <f>'Input Data'!$AW$33*'Input Data'!$AW$77*P24/1000000</f>
        <v>0</v>
      </c>
      <c r="Q35" s="88">
        <f>'Input Data'!$AW$33*'Input Data'!$AW$77*Q24/1000000</f>
        <v>0</v>
      </c>
      <c r="R35" s="88">
        <f>'Input Data'!$AW$33*'Input Data'!$AW$77*R24/1000000</f>
        <v>0</v>
      </c>
      <c r="S35" s="88">
        <f>'Input Data'!$AW$33*'Input Data'!$AW$77*S24/1000000</f>
        <v>0</v>
      </c>
      <c r="T35" s="88">
        <f>'Input Data'!$AW$33*'Input Data'!$AW$77*T24/1000000</f>
        <v>0</v>
      </c>
      <c r="U35" s="88">
        <f>'Input Data'!$AW$33*'Input Data'!$AW$77*U24/1000000</f>
        <v>0</v>
      </c>
      <c r="V35" s="88">
        <f>'Input Data'!$AW$33*'Input Data'!$AW$77*V24/1000000</f>
        <v>0</v>
      </c>
      <c r="W35" s="88">
        <f>'Input Data'!$AW$33*'Input Data'!$AW$77*W24/1000000</f>
        <v>0</v>
      </c>
      <c r="X35" s="88">
        <f>'Input Data'!$AW$33*'Input Data'!$AW$77*X24/1000000</f>
        <v>0</v>
      </c>
      <c r="Y35" s="88">
        <f>'Input Data'!$AW$33*'Input Data'!$AW$77*Y24/1000000</f>
        <v>0</v>
      </c>
      <c r="Z35" s="88">
        <f>'Input Data'!$AW$33*'Input Data'!$AW$77*Z24/1000000</f>
        <v>0</v>
      </c>
      <c r="AA35" s="88">
        <f>'Input Data'!$AW$33*'Input Data'!$AW$77*AA24/1000000</f>
        <v>0</v>
      </c>
      <c r="AB35" s="88">
        <f>'Input Data'!$AW$33*'Input Data'!$AW$77*AB24/1000000</f>
        <v>0</v>
      </c>
      <c r="AC35" s="88">
        <f>IF('Input Data'!AW89&gt;20,'Input Data'!$AW$33*'Input Data'!$AW$77*AC24/1000000,"")</f>
        <v>0</v>
      </c>
      <c r="AD35" s="88">
        <f>IF(AD19="Year 22",'Input Data'!$AW$33*'Input Data'!$AW$77*AD24/1000000,"")</f>
        <v>0</v>
      </c>
      <c r="AE35" s="88">
        <f>IF(AE19="Year 23",'Input Data'!$AW$33*'Input Data'!$AW$77*AE24/1000000,"")</f>
        <v>0</v>
      </c>
      <c r="AF35" s="88">
        <f>IF(AF19="Year 24",'Input Data'!$AW$33*'Input Data'!$AW$77*AF24/1000000,"")</f>
        <v>0</v>
      </c>
      <c r="AG35" s="88">
        <f>IF(AG19="Year 25",'Input Data'!$AW$33*'Input Data'!$AW$77*AG24/1000000,"")</f>
        <v>0</v>
      </c>
      <c r="AH35" s="88">
        <f>IF('Input Data'!AW89&gt;25,'Input Data'!$AW$33*'Input Data'!$AW$77*AH24/1000000,"")</f>
        <v>0</v>
      </c>
      <c r="AI35" s="88">
        <f>IF(AI19="Year 27",'Input Data'!$AW$33*'Input Data'!$AW$77*AI24/1000000,"")</f>
        <v>0</v>
      </c>
      <c r="AJ35" s="88">
        <f>IF(AJ19="Year 28",'Input Data'!$AW$33*'Input Data'!$AW$77*AJ24/1000000,"")</f>
        <v>0</v>
      </c>
      <c r="AK35" s="88">
        <f>IF(AK19="Year 29",'Input Data'!$AW$33*'Input Data'!$AW$77*AK24/1000000,"")</f>
        <v>0</v>
      </c>
      <c r="AL35" s="88">
        <f>IF(AL19="Year 30",'Input Data'!$AW$33*'Input Data'!$AW$77*AL24/1000000,"")</f>
        <v>0</v>
      </c>
      <c r="AM35" s="88" t="str">
        <f>IF('Input Data'!AW89&gt;30,'Input Data'!$AW$33*'Input Data'!$AW$77*AM24/1000000,"")</f>
        <v/>
      </c>
    </row>
    <row r="36" spans="2:40" x14ac:dyDescent="0.2">
      <c r="B36" s="1" t="s">
        <v>132</v>
      </c>
      <c r="F36" s="88">
        <f>I10*F25</f>
        <v>474.14499999999998</v>
      </c>
      <c r="G36" s="88">
        <f>I10*G25</f>
        <v>853.46100000000001</v>
      </c>
      <c r="H36" s="88">
        <f>H25*I10</f>
        <v>568.97399999999993</v>
      </c>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40" ht="13.5" thickBot="1" x14ac:dyDescent="0.25">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2:40" ht="13.5" thickBot="1" x14ac:dyDescent="0.25">
      <c r="B38" s="90" t="s">
        <v>129</v>
      </c>
      <c r="C38" s="91"/>
      <c r="D38" s="91"/>
      <c r="E38" s="91"/>
      <c r="F38" s="92">
        <f t="shared" ref="F38:AB38" si="5">SUM(F27:F27)-SUM(F29:F35)-F36</f>
        <v>-474.14499999999998</v>
      </c>
      <c r="G38" s="92">
        <f t="shared" si="5"/>
        <v>-853.46100000000001</v>
      </c>
      <c r="H38" s="92">
        <f t="shared" si="5"/>
        <v>-568.97399999999993</v>
      </c>
      <c r="I38" s="92">
        <f t="shared" si="5"/>
        <v>157.89534129824995</v>
      </c>
      <c r="J38" s="92">
        <f t="shared" si="5"/>
        <v>194.48139380567298</v>
      </c>
      <c r="K38" s="92">
        <f t="shared" si="5"/>
        <v>231.0674463130961</v>
      </c>
      <c r="L38" s="92">
        <f t="shared" si="5"/>
        <v>231.0674463130961</v>
      </c>
      <c r="M38" s="92">
        <f t="shared" si="5"/>
        <v>231.0674463130961</v>
      </c>
      <c r="N38" s="92">
        <f t="shared" si="5"/>
        <v>231.0674463130961</v>
      </c>
      <c r="O38" s="92">
        <f t="shared" si="5"/>
        <v>231.0674463130961</v>
      </c>
      <c r="P38" s="92">
        <f t="shared" si="5"/>
        <v>231.0674463130961</v>
      </c>
      <c r="Q38" s="92">
        <f t="shared" si="5"/>
        <v>231.0674463130961</v>
      </c>
      <c r="R38" s="92">
        <f t="shared" si="5"/>
        <v>231.0674463130961</v>
      </c>
      <c r="S38" s="92">
        <f t="shared" si="5"/>
        <v>231.0674463130961</v>
      </c>
      <c r="T38" s="92">
        <f t="shared" si="5"/>
        <v>231.0674463130961</v>
      </c>
      <c r="U38" s="92">
        <f t="shared" si="5"/>
        <v>231.0674463130961</v>
      </c>
      <c r="V38" s="92">
        <f t="shared" si="5"/>
        <v>231.0674463130961</v>
      </c>
      <c r="W38" s="92">
        <f t="shared" si="5"/>
        <v>231.0674463130961</v>
      </c>
      <c r="X38" s="92">
        <f t="shared" si="5"/>
        <v>231.0674463130961</v>
      </c>
      <c r="Y38" s="92">
        <f t="shared" si="5"/>
        <v>231.0674463130961</v>
      </c>
      <c r="Z38" s="92">
        <f t="shared" si="5"/>
        <v>231.0674463130961</v>
      </c>
      <c r="AA38" s="92">
        <f t="shared" si="5"/>
        <v>231.0674463130961</v>
      </c>
      <c r="AB38" s="92">
        <f t="shared" si="5"/>
        <v>231.0674463130961</v>
      </c>
      <c r="AC38" s="92">
        <f>IF(AC19="Year 21",SUM(AC27:AC27)-SUM(AC29:AC35)-AC36,"")</f>
        <v>231.0674463130961</v>
      </c>
      <c r="AD38" s="92">
        <f>IF(AD19="Year 22",SUM(AD27:AD27)-SUM(AD29:AD35)-AD36,"")</f>
        <v>231.0674463130961</v>
      </c>
      <c r="AE38" s="92">
        <f>IF(AE19="Year 23",SUM(AE27:AE27)-SUM(AE29:AE35)-AE36,"")</f>
        <v>231.0674463130961</v>
      </c>
      <c r="AF38" s="92">
        <f>IF(AF19="Year 24",SUM(AF27:AF27)-SUM(AF29:AF35)-AF36,"")</f>
        <v>231.0674463130961</v>
      </c>
      <c r="AG38" s="92">
        <f>IF(AG19="Year 25",SUM(AG27:AG27)-SUM(AG29:AG35)-AG36,"")</f>
        <v>231.0674463130961</v>
      </c>
      <c r="AH38" s="92">
        <f>IF(AH19="Year 26",SUM(AH27:AH27)-SUM(AH29:AH35)-AH36,"")</f>
        <v>231.0674463130961</v>
      </c>
      <c r="AI38" s="92">
        <f>IF(AI19="Year 27",SUM(AI27:AI27)-SUM(AI29:AI35)-AI36,"")</f>
        <v>231.0674463130961</v>
      </c>
      <c r="AJ38" s="92">
        <f>IF(AJ19="Year 28",SUM(AJ27:AJ27)-SUM(AJ29:AJ35)-AJ36,"")</f>
        <v>231.0674463130961</v>
      </c>
      <c r="AK38" s="92">
        <f>IF(AK19="Year 29",SUM(AK27:AK27)-SUM(AK29:AK35)-AK36,"")</f>
        <v>231.0674463130961</v>
      </c>
      <c r="AL38" s="92">
        <f>IF(AL19="Year 30",SUM(AL27:AL27)-SUM(AL29:AL35)-AL36,"")</f>
        <v>231.0674463130961</v>
      </c>
      <c r="AM38" s="92">
        <f>IF(AM19="Year 31",SUM(AM27:AM27)-SUM(AM29:AM35)-AM36,"")</f>
        <v>0</v>
      </c>
    </row>
    <row r="39" spans="2:40" ht="13.5" thickBot="1" x14ac:dyDescent="0.25">
      <c r="B39" s="90" t="s">
        <v>130</v>
      </c>
      <c r="C39" s="91"/>
      <c r="D39" s="91"/>
      <c r="E39" s="91"/>
      <c r="F39" s="93">
        <f>F38</f>
        <v>-474.14499999999998</v>
      </c>
      <c r="G39" s="93">
        <f>-1*(ABS(G38)+ABS(F39))</f>
        <v>-1327.606</v>
      </c>
      <c r="H39" s="93">
        <f>-1*(ABS(H38)+ABS(G39))</f>
        <v>-1896.58</v>
      </c>
      <c r="I39" s="93">
        <f>H39+I38</f>
        <v>-1738.6846587017499</v>
      </c>
      <c r="J39" s="93">
        <f t="shared" ref="J39:AB39" si="6">I39+J38</f>
        <v>-1544.2032648960769</v>
      </c>
      <c r="K39" s="93">
        <f t="shared" si="6"/>
        <v>-1313.1358185829808</v>
      </c>
      <c r="L39" s="93">
        <f t="shared" si="6"/>
        <v>-1082.0683722698848</v>
      </c>
      <c r="M39" s="93">
        <f t="shared" si="6"/>
        <v>-851.00092595678871</v>
      </c>
      <c r="N39" s="93">
        <f t="shared" si="6"/>
        <v>-619.93347964369264</v>
      </c>
      <c r="O39" s="93">
        <f t="shared" si="6"/>
        <v>-388.86603333059657</v>
      </c>
      <c r="P39" s="93">
        <f t="shared" si="6"/>
        <v>-157.79858701750047</v>
      </c>
      <c r="Q39" s="93">
        <f t="shared" si="6"/>
        <v>73.268859295595632</v>
      </c>
      <c r="R39" s="93">
        <f t="shared" si="6"/>
        <v>304.33630560869176</v>
      </c>
      <c r="S39" s="93">
        <f t="shared" si="6"/>
        <v>535.40375192178783</v>
      </c>
      <c r="T39" s="93">
        <f t="shared" si="6"/>
        <v>766.4711982348839</v>
      </c>
      <c r="U39" s="93">
        <f t="shared" si="6"/>
        <v>997.53864454797997</v>
      </c>
      <c r="V39" s="93">
        <f t="shared" si="6"/>
        <v>1228.6060908610762</v>
      </c>
      <c r="W39" s="93">
        <f t="shared" si="6"/>
        <v>1459.6735371741722</v>
      </c>
      <c r="X39" s="93">
        <f t="shared" si="6"/>
        <v>1690.7409834872683</v>
      </c>
      <c r="Y39" s="93">
        <f t="shared" si="6"/>
        <v>1921.8084298003644</v>
      </c>
      <c r="Z39" s="93">
        <f t="shared" si="6"/>
        <v>2152.8758761134604</v>
      </c>
      <c r="AA39" s="93">
        <f t="shared" si="6"/>
        <v>2383.9433224265567</v>
      </c>
      <c r="AB39" s="93">
        <f t="shared" si="6"/>
        <v>2615.010768739653</v>
      </c>
      <c r="AC39" s="93">
        <f>IF(AC19="Year 21",AB39+AC38,"")</f>
        <v>2846.0782150527493</v>
      </c>
      <c r="AD39" s="93">
        <f>IF(AD19="Year 22",AC39+AD38,"")</f>
        <v>3077.1456613658456</v>
      </c>
      <c r="AE39" s="93">
        <f>IF(AE19="Year 23",AD39+AE38,"")</f>
        <v>3308.2131076789419</v>
      </c>
      <c r="AF39" s="93">
        <f>IF(AF19="Year 24",AE39+AF38,"")</f>
        <v>3539.2805539920382</v>
      </c>
      <c r="AG39" s="93">
        <f>IF(AG19="Year 25",AF39+AG38,"")</f>
        <v>3770.3480003051345</v>
      </c>
      <c r="AH39" s="93">
        <f>IF(AH19="Year 26",AG39+AH38,"")</f>
        <v>4001.4154466182308</v>
      </c>
      <c r="AI39" s="93">
        <f>IF(AI19="Year 27",AH39+AI38,"")</f>
        <v>4232.4828929313271</v>
      </c>
      <c r="AJ39" s="93">
        <f>IF(AJ19="Year 28",AI39+AJ38,"")</f>
        <v>4463.5503392444234</v>
      </c>
      <c r="AK39" s="93">
        <f>IF(AK19="Year 29",AJ39+AK38,"")</f>
        <v>4694.6177855575197</v>
      </c>
      <c r="AL39" s="93">
        <f>IF(AL19="Year 30",AK39+AL38,"")</f>
        <v>4925.685231870616</v>
      </c>
      <c r="AM39" s="93">
        <f>IF(AM19="Year 31",AL39+AM38,"")</f>
        <v>4925.685231870616</v>
      </c>
    </row>
    <row r="40" spans="2:40" ht="13.5" thickBot="1" x14ac:dyDescent="0.25">
      <c r="B40" s="90"/>
      <c r="C40" s="91"/>
      <c r="D40" s="91"/>
      <c r="E40" s="91"/>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1"/>
      <c r="AJ40" s="91"/>
      <c r="AK40" s="91"/>
      <c r="AL40" s="91"/>
      <c r="AM40" s="91"/>
    </row>
    <row r="41" spans="2:40" ht="13.5" thickBot="1" x14ac:dyDescent="0.25">
      <c r="B41" s="90" t="s">
        <v>128</v>
      </c>
      <c r="C41" s="91"/>
      <c r="D41" s="91"/>
      <c r="E41" s="91"/>
      <c r="F41" s="93">
        <f>F39/(1+R9)</f>
        <v>-431.04090909090905</v>
      </c>
      <c r="G41" s="93">
        <f>G38/(1+R9)^2</f>
        <v>-705.33966942148754</v>
      </c>
      <c r="H41" s="93">
        <f>H38/(1+R9)^3</f>
        <v>-427.4785875281741</v>
      </c>
      <c r="I41" s="93">
        <f>I38/(1+R9)^4</f>
        <v>107.84464264616481</v>
      </c>
      <c r="J41" s="93">
        <f>J38/(1+R9)^5</f>
        <v>120.75764435220701</v>
      </c>
      <c r="K41" s="93">
        <f>K38/(1+R9)^6</f>
        <v>130.43154952784352</v>
      </c>
      <c r="L41" s="93">
        <f>L38/(1+R9)^7</f>
        <v>118.57413593440317</v>
      </c>
      <c r="M41" s="93">
        <f>M38/(1+R9)^8</f>
        <v>107.79466903127563</v>
      </c>
      <c r="N41" s="93">
        <f>N38/(1+R9)^9</f>
        <v>97.995153664796021</v>
      </c>
      <c r="O41" s="93">
        <f>O38/(1+R9)^10</f>
        <v>89.086503331632727</v>
      </c>
      <c r="P41" s="93">
        <f>P38/(1+R9)^11</f>
        <v>80.987730301484291</v>
      </c>
      <c r="Q41" s="93">
        <f>Q38/(1+R9)^12</f>
        <v>73.625209364985722</v>
      </c>
      <c r="R41" s="93">
        <f>R38/(1+R9)^13</f>
        <v>66.932008513623387</v>
      </c>
      <c r="S41" s="93">
        <f>S38/(1+R9)^14</f>
        <v>60.847280466930336</v>
      </c>
      <c r="T41" s="93">
        <f>T38/(1+R9)^15</f>
        <v>55.315709515391212</v>
      </c>
      <c r="U41" s="93">
        <f>U38/(1+R9)^16</f>
        <v>50.287008650355645</v>
      </c>
      <c r="V41" s="93">
        <f>V38/(1+R9)^17</f>
        <v>45.715462409414222</v>
      </c>
      <c r="W41" s="93">
        <f>W38/(1+R9)^18</f>
        <v>41.559511281285658</v>
      </c>
      <c r="X41" s="93">
        <f>X38/(1+R9)^19</f>
        <v>37.781373892077859</v>
      </c>
      <c r="Y41" s="93">
        <f>Y38/(1+R9)^20</f>
        <v>34.346703538252605</v>
      </c>
      <c r="Z41" s="93">
        <f>Z38/(1+R9)^21</f>
        <v>31.224275943865997</v>
      </c>
      <c r="AA41" s="93">
        <f>AA38/(1+R9)^22</f>
        <v>28.385705403514539</v>
      </c>
      <c r="AB41" s="93">
        <f>AB38/(1+R9)^23</f>
        <v>25.80518673046776</v>
      </c>
      <c r="AC41" s="93">
        <f>IF(AC19="Year 21",AC38/(1+R9)^24,"")</f>
        <v>23.459260664061606</v>
      </c>
      <c r="AD41" s="93">
        <f>IF(AD19="Year 22",AD38/(1+R9)^25,"")</f>
        <v>21.326600603692363</v>
      </c>
      <c r="AE41" s="93">
        <f>IF(AE19="Year 23",AE38/(1+R9)^26,"")</f>
        <v>19.387818730629419</v>
      </c>
      <c r="AF41" s="93">
        <f>IF(AF19="Year 24",AF38/(1+R9)^27,"")</f>
        <v>17.625289755117652</v>
      </c>
      <c r="AG41" s="93">
        <f>IF(AG19="Year 25",AG38/(1+R9)^28,"")</f>
        <v>16.022990686470592</v>
      </c>
      <c r="AH41" s="93">
        <f>IF(AH19="Year 26",AH38/(1+R9)^29,"")</f>
        <v>14.566355169518721</v>
      </c>
      <c r="AI41" s="93">
        <f>IF(AI19="Year 27",AI38/(1+R9)^30,"")</f>
        <v>13.242141063198835</v>
      </c>
      <c r="AJ41" s="93">
        <f>IF(AJ19="Year 28",AJ38/(1+R9)^31,"")</f>
        <v>12.038310057453486</v>
      </c>
      <c r="AK41" s="93">
        <f>IF(AK19="Year 29",AK38/(1+R9)^32,"")</f>
        <v>10.943918234048622</v>
      </c>
      <c r="AL41" s="93">
        <f>IF(AL19="Year 30",AL38/(1+R9)^33,"")</f>
        <v>9.9490165764078373</v>
      </c>
      <c r="AM41" s="93">
        <f>IF(AM19="Year 31",AM38/(1+R9)^34,"")</f>
        <v>0</v>
      </c>
    </row>
    <row r="42" spans="2:40" ht="13.5" thickBot="1" x14ac:dyDescent="0.25">
      <c r="B42" s="90" t="s">
        <v>131</v>
      </c>
      <c r="C42" s="91"/>
      <c r="D42" s="91"/>
      <c r="E42" s="91"/>
      <c r="F42" s="93">
        <f>F41</f>
        <v>-431.04090909090905</v>
      </c>
      <c r="G42" s="93">
        <f t="shared" ref="G42:AB42" si="7">SUM(G41+F42)</f>
        <v>-1136.3805785123966</v>
      </c>
      <c r="H42" s="93">
        <f t="shared" si="7"/>
        <v>-1563.8591660405707</v>
      </c>
      <c r="I42" s="93">
        <f t="shared" si="7"/>
        <v>-1456.0145233944058</v>
      </c>
      <c r="J42" s="93">
        <f t="shared" si="7"/>
        <v>-1335.2568790421988</v>
      </c>
      <c r="K42" s="93">
        <f t="shared" si="7"/>
        <v>-1204.8253295143552</v>
      </c>
      <c r="L42" s="93">
        <f t="shared" si="7"/>
        <v>-1086.2511935799521</v>
      </c>
      <c r="M42" s="93">
        <f t="shared" si="7"/>
        <v>-978.4565245486765</v>
      </c>
      <c r="N42" s="93">
        <f t="shared" si="7"/>
        <v>-880.46137088388048</v>
      </c>
      <c r="O42" s="93">
        <f t="shared" si="7"/>
        <v>-791.37486755224779</v>
      </c>
      <c r="P42" s="93">
        <f t="shared" si="7"/>
        <v>-710.38713725076354</v>
      </c>
      <c r="Q42" s="93">
        <f t="shared" si="7"/>
        <v>-636.76192788577782</v>
      </c>
      <c r="R42" s="93">
        <f t="shared" si="7"/>
        <v>-569.82991937215445</v>
      </c>
      <c r="S42" s="93">
        <f t="shared" si="7"/>
        <v>-508.98263890522412</v>
      </c>
      <c r="T42" s="93">
        <f t="shared" si="7"/>
        <v>-453.66692938983289</v>
      </c>
      <c r="U42" s="93">
        <f t="shared" si="7"/>
        <v>-403.37992073947726</v>
      </c>
      <c r="V42" s="93">
        <f t="shared" si="7"/>
        <v>-357.66445833006304</v>
      </c>
      <c r="W42" s="93">
        <f t="shared" si="7"/>
        <v>-316.10494704877738</v>
      </c>
      <c r="X42" s="93">
        <f t="shared" si="7"/>
        <v>-278.32357315669952</v>
      </c>
      <c r="Y42" s="93">
        <f t="shared" si="7"/>
        <v>-243.97686961844693</v>
      </c>
      <c r="Z42" s="93">
        <f t="shared" si="7"/>
        <v>-212.75259367458094</v>
      </c>
      <c r="AA42" s="93">
        <f t="shared" si="7"/>
        <v>-184.36688827106639</v>
      </c>
      <c r="AB42" s="93">
        <f t="shared" si="7"/>
        <v>-158.56170154059862</v>
      </c>
      <c r="AC42" s="93">
        <f>IF(AC19="Year 21",SUM(AC41+AB42),"")</f>
        <v>-135.102440876537</v>
      </c>
      <c r="AD42" s="93">
        <f>IF(AD19="Year 22",SUM(AD41+AC42),"")</f>
        <v>-113.77584027284465</v>
      </c>
      <c r="AE42" s="93">
        <f>IF(AE19="Year 23",SUM(AE41+AD42),"")</f>
        <v>-94.388021542215228</v>
      </c>
      <c r="AF42" s="93">
        <f>IF(AF19="Year 24",SUM(AF41+AE42),"")</f>
        <v>-76.762731787097579</v>
      </c>
      <c r="AG42" s="93">
        <f>IF(AG19="Year 25",SUM(AG41+AF42),"")</f>
        <v>-60.739741100626986</v>
      </c>
      <c r="AH42" s="93">
        <f>IF(AH19="Year 26",SUM(AH41+AG42),"")</f>
        <v>-46.173385931108264</v>
      </c>
      <c r="AI42" s="93">
        <f>IF(AI19="Year 27",SUM(AI41+AH42),"")</f>
        <v>-32.931244867909427</v>
      </c>
      <c r="AJ42" s="93">
        <f>IF(AJ19="Year 28",SUM(AJ41+AI42),"")</f>
        <v>-20.892934810455941</v>
      </c>
      <c r="AK42" s="93">
        <f>IF(AK19="Year 29",SUM(AK41+AJ42),"")</f>
        <v>-9.9490165764073186</v>
      </c>
      <c r="AL42" s="93">
        <f>IF(AL19="Year 30",SUM(AL41+AK42),"")</f>
        <v>5.1869619710487314E-13</v>
      </c>
      <c r="AM42" s="93">
        <f>IF(AM19="Year 31",SUM(AM41+AL42),"")</f>
        <v>5.1869619710487314E-13</v>
      </c>
    </row>
    <row r="43" spans="2:40" x14ac:dyDescent="0.2">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2:40" s="229" customFormat="1" x14ac:dyDescent="0.2">
      <c r="F44" s="230"/>
      <c r="G44" s="230"/>
      <c r="H44" s="230"/>
      <c r="I44" s="230"/>
      <c r="J44" s="230"/>
      <c r="K44" s="230"/>
      <c r="L44" s="230"/>
      <c r="M44" s="230"/>
      <c r="N44" s="230"/>
      <c r="O44" s="230"/>
      <c r="P44" s="230"/>
      <c r="Q44" s="230"/>
      <c r="R44" s="230"/>
      <c r="S44" s="230"/>
      <c r="T44" s="230"/>
      <c r="U44" s="230"/>
      <c r="V44" s="230"/>
      <c r="W44" s="230"/>
      <c r="X44" s="230"/>
      <c r="Y44" s="230"/>
      <c r="Z44" s="230"/>
      <c r="AA44" s="230" t="s">
        <v>203</v>
      </c>
      <c r="AB44" s="230"/>
      <c r="AC44" s="231">
        <f>SUM(AC41+AB42)</f>
        <v>-135.102440876537</v>
      </c>
      <c r="AD44" s="231">
        <f>IF(AD41="",AC42,SUM(AD41+AC42))</f>
        <v>-113.77584027284465</v>
      </c>
      <c r="AE44" s="231">
        <f>IF(AE41="",AD44,SUM(AE41+AD44))</f>
        <v>-94.388021542215228</v>
      </c>
      <c r="AF44" s="231">
        <f>IF(AF41="",AE44,SUM(AF41+AE44))</f>
        <v>-76.762731787097579</v>
      </c>
      <c r="AG44" s="231">
        <f t="shared" ref="AG44:AN44" si="8">IF(AG41="",AF44,SUM(AG41+AF44))</f>
        <v>-60.739741100626986</v>
      </c>
      <c r="AH44" s="231">
        <f t="shared" si="8"/>
        <v>-46.173385931108264</v>
      </c>
      <c r="AI44" s="231">
        <f t="shared" si="8"/>
        <v>-32.931244867909427</v>
      </c>
      <c r="AJ44" s="231">
        <f t="shared" si="8"/>
        <v>-20.892934810455941</v>
      </c>
      <c r="AK44" s="231">
        <f t="shared" si="8"/>
        <v>-9.9490165764073186</v>
      </c>
      <c r="AL44" s="231">
        <f t="shared" si="8"/>
        <v>5.1869619710487314E-13</v>
      </c>
      <c r="AM44" s="231">
        <f t="shared" si="8"/>
        <v>5.1869619710487314E-13</v>
      </c>
      <c r="AN44" s="231">
        <f t="shared" si="8"/>
        <v>5.1869619710487314E-13</v>
      </c>
    </row>
    <row r="45" spans="2:40" x14ac:dyDescent="0.2">
      <c r="F45" s="82"/>
      <c r="G45" s="82"/>
      <c r="H45" s="87"/>
    </row>
    <row r="46" spans="2:40" x14ac:dyDescent="0.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row>
    <row r="47" spans="2:40" x14ac:dyDescent="0.2">
      <c r="I47" s="82"/>
    </row>
  </sheetData>
  <sheetProtection password="C9BE" sheet="1" objects="1" scenarios="1" selectLockedCells="1" selectUnlockedCells="1"/>
  <protectedRanges>
    <protectedRange sqref="AN44" name="Range2"/>
    <protectedRange sqref="R5" name="Range1"/>
  </protectedRanges>
  <customSheetViews>
    <customSheetView guid="{F792C52D-3F7D-4169-B87A-F2F2698FB257}" scale="75" fitToPage="1" showRuler="0">
      <pane xSplit="5" ySplit="15" topLeftCell="F16" activePane="bottomRight" state="frozen"/>
      <selection pane="bottomRight" activeCell="J54" sqref="J54"/>
      <pageMargins left="0.75" right="0.75" top="1" bottom="1" header="0.5" footer="0.5"/>
      <pageSetup paperSize="9" scale="39" orientation="landscape" r:id="rId1"/>
      <headerFooter alignWithMargins="0"/>
    </customSheetView>
  </customSheetViews>
  <mergeCells count="1">
    <mergeCell ref="F17:AG17"/>
  </mergeCells>
  <phoneticPr fontId="4" type="noConversion"/>
  <pageMargins left="0.75" right="0.75" top="1" bottom="1" header="0.5" footer="0.5"/>
  <pageSetup paperSize="9" scale="32"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J32"/>
  <sheetViews>
    <sheetView workbookViewId="0"/>
  </sheetViews>
  <sheetFormatPr defaultRowHeight="11.25" x14ac:dyDescent="0.2"/>
  <cols>
    <col min="1" max="1" width="23.85546875" style="273" customWidth="1"/>
    <col min="2" max="2" width="9.42578125" style="273" customWidth="1"/>
    <col min="3" max="3" width="10.85546875" style="273" customWidth="1"/>
    <col min="4" max="4" width="11.5703125" style="273" customWidth="1"/>
    <col min="5" max="5" width="12.140625" style="273" customWidth="1"/>
    <col min="6" max="6" width="12.7109375" style="273" customWidth="1"/>
    <col min="7" max="7" width="13.7109375" style="273" customWidth="1"/>
    <col min="8" max="8" width="13.85546875" style="273" customWidth="1"/>
    <col min="9" max="9" width="12.28515625" style="273" customWidth="1"/>
    <col min="10" max="10" width="11" style="273" customWidth="1"/>
    <col min="11" max="16384" width="9.140625" style="273"/>
  </cols>
  <sheetData>
    <row r="2" spans="1:10" x14ac:dyDescent="0.2">
      <c r="C2" s="274" t="s">
        <v>171</v>
      </c>
      <c r="D2" s="274" t="s">
        <v>172</v>
      </c>
      <c r="E2" s="274" t="s">
        <v>173</v>
      </c>
      <c r="F2" s="274" t="s">
        <v>174</v>
      </c>
      <c r="G2" s="274" t="s">
        <v>214</v>
      </c>
      <c r="H2" s="274" t="s">
        <v>215</v>
      </c>
      <c r="I2" s="274" t="s">
        <v>175</v>
      </c>
      <c r="J2" s="274" t="s">
        <v>176</v>
      </c>
    </row>
    <row r="3" spans="1:10" x14ac:dyDescent="0.2">
      <c r="C3" s="274" t="s">
        <v>177</v>
      </c>
      <c r="D3" s="274" t="s">
        <v>178</v>
      </c>
      <c r="E3" s="274" t="s">
        <v>179</v>
      </c>
      <c r="F3" s="274" t="s">
        <v>180</v>
      </c>
      <c r="G3" s="274" t="s">
        <v>181</v>
      </c>
      <c r="H3" s="274" t="s">
        <v>216</v>
      </c>
      <c r="I3" s="274" t="s">
        <v>182</v>
      </c>
      <c r="J3" s="274" t="s">
        <v>183</v>
      </c>
    </row>
    <row r="4" spans="1:10" x14ac:dyDescent="0.2">
      <c r="A4" s="273" t="s">
        <v>184</v>
      </c>
      <c r="B4" s="273" t="s">
        <v>218</v>
      </c>
      <c r="C4" s="275">
        <f>'Input Data'!G22</f>
        <v>923.8</v>
      </c>
      <c r="D4" s="275">
        <f>'Input Data'!N22</f>
        <v>878.1</v>
      </c>
      <c r="E4" s="275">
        <f>'Input Data'!AI22</f>
        <v>745.7</v>
      </c>
      <c r="F4" s="275">
        <f>'Input Data'!AP22</f>
        <v>836.2</v>
      </c>
      <c r="G4" s="275">
        <f>'Input Data'!U22</f>
        <v>955.3</v>
      </c>
      <c r="H4" s="275">
        <f>'Input Data'!BF22</f>
        <v>970.7</v>
      </c>
      <c r="I4" s="275">
        <f>'Input Data'!AB22</f>
        <v>1037.5999999999999</v>
      </c>
      <c r="J4" s="275">
        <f>'Input Data'!AW22</f>
        <v>855.4</v>
      </c>
    </row>
    <row r="5" spans="1:10" x14ac:dyDescent="0.2">
      <c r="B5" s="273" t="s">
        <v>219</v>
      </c>
      <c r="C5" s="275">
        <f>'Input Data'!G23</f>
        <v>700.09999999999991</v>
      </c>
      <c r="D5" s="275">
        <f>'Input Data'!N23</f>
        <v>746.1</v>
      </c>
      <c r="E5" s="275">
        <f>'Input Data'!AI23</f>
        <v>626.70000000000005</v>
      </c>
      <c r="F5" s="275">
        <f>'Input Data'!AP23</f>
        <v>779.2</v>
      </c>
      <c r="G5" s="275">
        <f>'Input Data'!U23</f>
        <v>842.3</v>
      </c>
      <c r="H5" s="275">
        <f>'Input Data'!BF23</f>
        <v>872.30000000000007</v>
      </c>
      <c r="I5" s="275">
        <f>'Input Data'!AB23</f>
        <v>990.8</v>
      </c>
      <c r="J5" s="275">
        <f>'Input Data'!AW23</f>
        <v>605.59999999999991</v>
      </c>
    </row>
    <row r="6" spans="1:10" x14ac:dyDescent="0.2">
      <c r="A6" s="273" t="s">
        <v>185</v>
      </c>
      <c r="B6" s="273" t="s">
        <v>208</v>
      </c>
      <c r="C6" s="276">
        <f>'IGCC w CC'!R5*1000</f>
        <v>76.207943053720697</v>
      </c>
      <c r="D6" s="276">
        <f>'IGCC wo CC'!R5*1000</f>
        <v>59.493504120862028</v>
      </c>
      <c r="E6" s="276">
        <f>'USCPC w CC'!R5*1000</f>
        <v>87.313194197154473</v>
      </c>
      <c r="F6" s="276">
        <f>'USCPC wo CC'!R5*1000</f>
        <v>56.237720262192852</v>
      </c>
      <c r="G6" s="276">
        <f>'CCGT w 90% CC'!R5*1000</f>
        <v>69.567271548539495</v>
      </c>
      <c r="H6" s="276">
        <f>'CCGT w 75% CC'!R5*1000</f>
        <v>65.891776630484671</v>
      </c>
      <c r="I6" s="276">
        <f>'CCGT wo CC'!R5*1000</f>
        <v>47.882899337235422</v>
      </c>
      <c r="J6" s="276">
        <f>'OXYFUEL with CC'!R5*1000</f>
        <v>96.897837107290528</v>
      </c>
    </row>
    <row r="7" spans="1:10" x14ac:dyDescent="0.2">
      <c r="A7" s="273" t="s">
        <v>220</v>
      </c>
      <c r="B7" s="273" t="s">
        <v>2</v>
      </c>
      <c r="C7" s="275">
        <f>'Input Data'!G31</f>
        <v>647.20833333333337</v>
      </c>
      <c r="D7" s="275">
        <f>'Input Data'!N31</f>
        <v>548</v>
      </c>
      <c r="E7" s="275">
        <f>'Input Data'!AI31</f>
        <v>608.16666666666663</v>
      </c>
      <c r="F7" s="275">
        <f>'Input Data'!AP31</f>
        <v>608</v>
      </c>
      <c r="G7" s="275">
        <f>'Input Data'!U31</f>
        <v>346.83333333333331</v>
      </c>
      <c r="H7" s="275">
        <f>'Input Data'!BF31</f>
        <v>347.1</v>
      </c>
      <c r="I7" s="275">
        <f>'Input Data'!AB31</f>
        <v>347</v>
      </c>
      <c r="J7" s="275">
        <f>'Input Data'!AW31</f>
        <v>607.90000000000009</v>
      </c>
    </row>
    <row r="8" spans="1:10" x14ac:dyDescent="0.2">
      <c r="A8" s="273" t="s">
        <v>88</v>
      </c>
      <c r="B8" s="273" t="s">
        <v>2</v>
      </c>
      <c r="C8" s="275">
        <f>'Input Data'!G32</f>
        <v>582.33333333333337</v>
      </c>
      <c r="D8" s="277">
        <v>0</v>
      </c>
      <c r="E8" s="275">
        <f>'Input Data'!AI32</f>
        <v>547.16666666666663</v>
      </c>
      <c r="F8" s="277">
        <v>0</v>
      </c>
      <c r="G8" s="275">
        <f>'Input Data'!U32</f>
        <v>312.83333333333331</v>
      </c>
      <c r="H8" s="275">
        <f>'Input Data'!BF32</f>
        <v>261.10000000000002</v>
      </c>
      <c r="I8" s="277">
        <v>0</v>
      </c>
      <c r="J8" s="275">
        <f>'Input Data'!AW32</f>
        <v>549.31666666666672</v>
      </c>
    </row>
    <row r="9" spans="1:10" x14ac:dyDescent="0.2">
      <c r="A9" s="273" t="s">
        <v>217</v>
      </c>
      <c r="B9" s="273" t="s">
        <v>186</v>
      </c>
      <c r="C9" s="277">
        <v>90</v>
      </c>
      <c r="D9" s="277">
        <v>0</v>
      </c>
      <c r="E9" s="277">
        <v>90</v>
      </c>
      <c r="F9" s="277">
        <v>0</v>
      </c>
      <c r="G9" s="277">
        <v>90</v>
      </c>
      <c r="H9" s="277">
        <v>75</v>
      </c>
      <c r="I9" s="277">
        <v>0</v>
      </c>
      <c r="J9" s="277">
        <v>90</v>
      </c>
    </row>
    <row r="10" spans="1:10" x14ac:dyDescent="0.2">
      <c r="A10" s="273" t="s">
        <v>221</v>
      </c>
      <c r="B10" s="273" t="s">
        <v>2</v>
      </c>
      <c r="C10" s="275">
        <f>'Input Data'!G33</f>
        <v>64.875</v>
      </c>
      <c r="D10" s="275">
        <f>'Input Data'!N33</f>
        <v>548</v>
      </c>
      <c r="E10" s="275">
        <f>'Input Data'!AI33</f>
        <v>61</v>
      </c>
      <c r="F10" s="275">
        <f>'Input Data'!AP33</f>
        <v>608</v>
      </c>
      <c r="G10" s="275">
        <f>'Input Data'!U33</f>
        <v>34</v>
      </c>
      <c r="H10" s="275">
        <f>'Input Data'!BF33</f>
        <v>86</v>
      </c>
      <c r="I10" s="275">
        <f>'Input Data'!AB33</f>
        <v>347</v>
      </c>
      <c r="J10" s="275">
        <f>'Input Data'!AW33</f>
        <v>58.583333333333336</v>
      </c>
    </row>
    <row r="11" spans="1:10" x14ac:dyDescent="0.2">
      <c r="A11" s="273" t="s">
        <v>222</v>
      </c>
      <c r="B11" s="273" t="s">
        <v>223</v>
      </c>
      <c r="C11" s="275">
        <f>'Input Data'!G77</f>
        <v>0</v>
      </c>
      <c r="D11" s="275">
        <f>'Input Data'!N77</f>
        <v>0</v>
      </c>
      <c r="E11" s="275">
        <f>'Input Data'!AI77</f>
        <v>0</v>
      </c>
      <c r="F11" s="275">
        <f>'Input Data'!AP77</f>
        <v>0</v>
      </c>
      <c r="G11" s="275">
        <f>'Input Data'!U77</f>
        <v>0</v>
      </c>
      <c r="H11" s="275">
        <f>'Input Data'!BF77</f>
        <v>0</v>
      </c>
      <c r="I11" s="275">
        <f>'Input Data'!AB77</f>
        <v>0</v>
      </c>
      <c r="J11" s="275">
        <f>'Input Data'!AW77</f>
        <v>0</v>
      </c>
    </row>
    <row r="12" spans="1:10" x14ac:dyDescent="0.2">
      <c r="A12" s="273" t="s">
        <v>224</v>
      </c>
      <c r="B12" s="273" t="s">
        <v>225</v>
      </c>
      <c r="C12" s="275">
        <f>C10/C4*1000</f>
        <v>70.22623944576749</v>
      </c>
      <c r="D12" s="275">
        <f t="shared" ref="D12:J12" si="0">D10/D4*1000</f>
        <v>624.07470675321724</v>
      </c>
      <c r="E12" s="275">
        <f t="shared" si="0"/>
        <v>81.802333378034049</v>
      </c>
      <c r="F12" s="275">
        <f t="shared" si="0"/>
        <v>727.09878019612529</v>
      </c>
      <c r="G12" s="275">
        <f t="shared" si="0"/>
        <v>35.590913849052654</v>
      </c>
      <c r="H12" s="275">
        <f>H10/H4*1000</f>
        <v>88.595858658699896</v>
      </c>
      <c r="I12" s="275">
        <f t="shared" si="0"/>
        <v>334.42559753276794</v>
      </c>
      <c r="J12" s="275">
        <f t="shared" si="0"/>
        <v>68.486478060946155</v>
      </c>
    </row>
    <row r="13" spans="1:10" x14ac:dyDescent="0.2">
      <c r="A13" s="273" t="s">
        <v>226</v>
      </c>
      <c r="B13" s="273" t="s">
        <v>227</v>
      </c>
      <c r="C13" s="275">
        <f>C10/C5*1000</f>
        <v>92.665333523782323</v>
      </c>
      <c r="D13" s="275">
        <f t="shared" ref="D13:J13" si="1">D10/D5*1000</f>
        <v>734.48599383460657</v>
      </c>
      <c r="E13" s="275">
        <f t="shared" si="1"/>
        <v>97.335248125099724</v>
      </c>
      <c r="F13" s="275">
        <f t="shared" si="1"/>
        <v>780.2874743326488</v>
      </c>
      <c r="G13" s="275">
        <f t="shared" si="1"/>
        <v>40.365665439867037</v>
      </c>
      <c r="H13" s="275">
        <f>H10/H5*1000</f>
        <v>98.589934655508415</v>
      </c>
      <c r="I13" s="275">
        <f>I10/I5*1000</f>
        <v>350.22204279370209</v>
      </c>
      <c r="J13" s="275">
        <f t="shared" si="1"/>
        <v>96.736019374724819</v>
      </c>
    </row>
    <row r="14" spans="1:10" x14ac:dyDescent="0.2">
      <c r="C14" s="277"/>
      <c r="D14" s="277"/>
      <c r="E14" s="277"/>
      <c r="F14" s="277"/>
      <c r="G14" s="277"/>
      <c r="H14" s="277"/>
      <c r="I14" s="277"/>
      <c r="J14" s="277"/>
    </row>
    <row r="15" spans="1:10" x14ac:dyDescent="0.2">
      <c r="A15" s="273" t="s">
        <v>228</v>
      </c>
      <c r="B15" s="273" t="s">
        <v>187</v>
      </c>
      <c r="C15" s="276">
        <f>(C6-D6)/(C8/C5)</f>
        <v>20.094640006115085</v>
      </c>
      <c r="D15" s="277" t="s">
        <v>87</v>
      </c>
      <c r="E15" s="276">
        <f>(E6-F6)/(E8/E5)</f>
        <v>35.592445047286844</v>
      </c>
      <c r="F15" s="277" t="s">
        <v>87</v>
      </c>
      <c r="G15" s="276">
        <f>(G6-I6)/(G8/G5)</f>
        <v>58.384912243733893</v>
      </c>
      <c r="H15" s="276">
        <f>(H6-I6)/(H8/H5)</f>
        <v>60.165238080816998</v>
      </c>
      <c r="I15" s="277" t="s">
        <v>87</v>
      </c>
      <c r="J15" s="276">
        <f>(J6-F6)/(J8/J5)</f>
        <v>44.826178151141377</v>
      </c>
    </row>
    <row r="16" spans="1:10" x14ac:dyDescent="0.2">
      <c r="A16" s="273" t="s">
        <v>229</v>
      </c>
      <c r="B16" s="273" t="s">
        <v>187</v>
      </c>
      <c r="C16" s="276">
        <f>(C6-D6)/(D13-C13)*1000</f>
        <v>26.042226382622392</v>
      </c>
      <c r="D16" s="277" t="s">
        <v>87</v>
      </c>
      <c r="E16" s="276">
        <f>(E6-F6)/(F13-E13)*1000</f>
        <v>45.501680414052551</v>
      </c>
      <c r="F16" s="277" t="s">
        <v>87</v>
      </c>
      <c r="G16" s="276">
        <f>(G6-I6)/(I13-G13)*1000</f>
        <v>69.982010363924132</v>
      </c>
      <c r="H16" s="276">
        <f>(H6-I6)/(I13-H13)*1000</f>
        <v>71.56828048095899</v>
      </c>
      <c r="I16" s="277" t="s">
        <v>87</v>
      </c>
      <c r="J16" s="276">
        <f>(J6-F6)/(F13-J13)*1000</f>
        <v>59.483622703429859</v>
      </c>
    </row>
    <row r="18" spans="1:8" x14ac:dyDescent="0.2">
      <c r="F18" s="278"/>
    </row>
    <row r="19" spans="1:8" x14ac:dyDescent="0.2">
      <c r="A19" s="279" t="s">
        <v>230</v>
      </c>
    </row>
    <row r="21" spans="1:8" x14ac:dyDescent="0.2">
      <c r="A21" s="273" t="s">
        <v>231</v>
      </c>
    </row>
    <row r="24" spans="1:8" x14ac:dyDescent="0.2">
      <c r="B24" s="273" t="s">
        <v>232</v>
      </c>
      <c r="E24" s="280" t="s">
        <v>233</v>
      </c>
      <c r="F24" s="280"/>
      <c r="G24" s="280"/>
      <c r="H24" s="281"/>
    </row>
    <row r="25" spans="1:8" x14ac:dyDescent="0.2">
      <c r="F25" s="273" t="s">
        <v>234</v>
      </c>
    </row>
    <row r="28" spans="1:8" x14ac:dyDescent="0.2">
      <c r="A28" s="273" t="s">
        <v>235</v>
      </c>
    </row>
    <row r="31" spans="1:8" x14ac:dyDescent="0.2">
      <c r="B31" s="273" t="s">
        <v>236</v>
      </c>
      <c r="E31" s="280" t="s">
        <v>233</v>
      </c>
      <c r="F31" s="280"/>
      <c r="G31" s="280"/>
      <c r="H31" s="281"/>
    </row>
    <row r="32" spans="1:8" x14ac:dyDescent="0.2">
      <c r="E32" s="281" t="s">
        <v>237</v>
      </c>
    </row>
  </sheetData>
  <sheetProtection password="C9BE" sheet="1" objects="1" scenarios="1" selectLockedCells="1" selectUnlockedCells="1"/>
  <phoneticPr fontId="4" type="noConversion"/>
  <pageMargins left="0.75" right="0.75" top="1" bottom="1" header="0.5" footer="0.5"/>
  <pageSetup paperSize="9" scale="65"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S40"/>
  <sheetViews>
    <sheetView showGridLines="0" zoomScale="64" workbookViewId="0"/>
  </sheetViews>
  <sheetFormatPr defaultColWidth="0" defaultRowHeight="12.75" zeroHeight="1" x14ac:dyDescent="0.2"/>
  <cols>
    <col min="1" max="1" width="2.7109375" customWidth="1"/>
    <col min="2" max="19" width="9.140625" style="6" customWidth="1"/>
    <col min="20" max="20" width="2.7109375" customWidth="1"/>
  </cols>
  <sheetData>
    <row r="1" spans="2:19" ht="13.5" thickBot="1" x14ac:dyDescent="0.25">
      <c r="B1"/>
      <c r="C1"/>
      <c r="D1"/>
      <c r="E1"/>
      <c r="F1"/>
      <c r="G1"/>
      <c r="H1"/>
      <c r="I1"/>
      <c r="J1"/>
      <c r="K1"/>
      <c r="L1"/>
      <c r="M1"/>
      <c r="N1"/>
      <c r="O1"/>
      <c r="P1"/>
      <c r="Q1"/>
      <c r="R1"/>
      <c r="S1"/>
    </row>
    <row r="2" spans="2:19" x14ac:dyDescent="0.2">
      <c r="B2" s="7"/>
      <c r="C2" s="8"/>
      <c r="D2" s="8"/>
      <c r="E2" s="8"/>
      <c r="F2" s="8"/>
      <c r="G2" s="8"/>
      <c r="H2" s="8"/>
      <c r="I2" s="8"/>
      <c r="J2" s="8"/>
      <c r="K2" s="8"/>
      <c r="L2" s="8"/>
      <c r="M2" s="8"/>
      <c r="N2" s="8"/>
      <c r="O2" s="8"/>
      <c r="P2" s="8"/>
      <c r="Q2" s="8"/>
      <c r="R2" s="8"/>
      <c r="S2" s="9"/>
    </row>
    <row r="3" spans="2:19" s="4" customFormat="1" ht="26.25" x14ac:dyDescent="0.4">
      <c r="B3" s="10"/>
      <c r="C3" s="11"/>
      <c r="D3" s="12"/>
      <c r="E3" s="12"/>
      <c r="F3" s="12"/>
      <c r="G3" s="12"/>
      <c r="H3" s="12"/>
      <c r="I3" s="12"/>
      <c r="J3" s="12"/>
      <c r="K3" s="12"/>
      <c r="L3" s="12"/>
      <c r="M3" s="12"/>
      <c r="N3" s="12"/>
      <c r="O3" s="12"/>
      <c r="P3" s="12"/>
      <c r="Q3" s="12"/>
      <c r="R3" s="12"/>
      <c r="S3" s="13"/>
    </row>
    <row r="4" spans="2:19" x14ac:dyDescent="0.2">
      <c r="B4" s="14"/>
      <c r="C4" s="15"/>
      <c r="D4" s="15"/>
      <c r="E4" s="15"/>
      <c r="F4" s="15"/>
      <c r="G4" s="15"/>
      <c r="H4" s="15"/>
      <c r="I4" s="15"/>
      <c r="J4" s="15"/>
      <c r="K4" s="15"/>
      <c r="L4" s="15"/>
      <c r="M4" s="15"/>
      <c r="N4" s="15"/>
      <c r="O4" s="15"/>
      <c r="P4" s="15"/>
      <c r="Q4" s="15"/>
      <c r="R4" s="15"/>
      <c r="S4" s="16"/>
    </row>
    <row r="5" spans="2:19" x14ac:dyDescent="0.2">
      <c r="B5" s="14"/>
      <c r="C5" s="15"/>
      <c r="D5" s="15"/>
      <c r="E5" s="15"/>
      <c r="F5" s="15"/>
      <c r="G5" s="15"/>
      <c r="H5" s="15"/>
      <c r="I5" s="15"/>
      <c r="J5" s="15"/>
      <c r="K5" s="15"/>
      <c r="L5" s="15"/>
      <c r="M5" s="15"/>
      <c r="N5" s="15"/>
      <c r="O5" s="15"/>
      <c r="P5" s="15"/>
      <c r="Q5" s="15"/>
      <c r="R5" s="15"/>
      <c r="S5" s="16"/>
    </row>
    <row r="6" spans="2:19" x14ac:dyDescent="0.2">
      <c r="B6" s="14"/>
      <c r="C6" s="15"/>
      <c r="D6" s="15"/>
      <c r="E6" s="15"/>
      <c r="F6" s="15"/>
      <c r="G6" s="15"/>
      <c r="H6" s="15"/>
      <c r="I6" s="15"/>
      <c r="J6" s="15"/>
      <c r="K6" s="15"/>
      <c r="L6" s="15"/>
      <c r="M6" s="15"/>
      <c r="N6" s="15"/>
      <c r="O6" s="15"/>
      <c r="P6" s="15"/>
      <c r="Q6" s="15"/>
      <c r="R6" s="15"/>
      <c r="S6" s="16"/>
    </row>
    <row r="7" spans="2:19" s="4" customFormat="1" ht="26.25" x14ac:dyDescent="0.4">
      <c r="B7" s="17" t="s">
        <v>27</v>
      </c>
      <c r="C7" s="18"/>
      <c r="D7" s="18"/>
      <c r="E7" s="18"/>
      <c r="F7" s="18"/>
      <c r="G7" s="18"/>
      <c r="H7" s="18"/>
      <c r="I7" s="18"/>
      <c r="J7" s="18"/>
      <c r="K7" s="18"/>
      <c r="L7" s="18"/>
      <c r="M7" s="18"/>
      <c r="N7" s="18"/>
      <c r="O7" s="18"/>
      <c r="P7" s="18"/>
      <c r="Q7" s="18"/>
      <c r="R7" s="18"/>
      <c r="S7" s="19"/>
    </row>
    <row r="8" spans="2:19" s="4" customFormat="1" ht="26.25" x14ac:dyDescent="0.4">
      <c r="B8" s="17"/>
      <c r="C8" s="18"/>
      <c r="D8" s="18"/>
      <c r="E8" s="18"/>
      <c r="F8" s="18"/>
      <c r="G8" s="18"/>
      <c r="H8" s="18"/>
      <c r="I8" s="18"/>
      <c r="J8" s="18"/>
      <c r="K8" s="18"/>
      <c r="L8" s="18"/>
      <c r="M8" s="18"/>
      <c r="N8" s="18"/>
      <c r="O8" s="18"/>
      <c r="P8" s="18"/>
      <c r="Q8" s="18"/>
      <c r="R8" s="18"/>
      <c r="S8" s="19"/>
    </row>
    <row r="9" spans="2:19" s="4" customFormat="1" ht="58.5" customHeight="1" x14ac:dyDescent="0.4">
      <c r="B9" s="30" t="s">
        <v>29</v>
      </c>
      <c r="C9" s="18"/>
      <c r="D9" s="18"/>
      <c r="E9" s="18"/>
      <c r="F9" s="18"/>
      <c r="G9" s="18"/>
      <c r="H9" s="18"/>
      <c r="I9" s="18"/>
      <c r="J9" s="18"/>
      <c r="K9" s="18"/>
      <c r="L9" s="18"/>
      <c r="M9" s="18"/>
      <c r="N9" s="18"/>
      <c r="O9" s="18"/>
      <c r="P9" s="18"/>
      <c r="Q9" s="18"/>
      <c r="R9" s="18"/>
      <c r="S9" s="19"/>
    </row>
    <row r="10" spans="2:19" s="4" customFormat="1" ht="26.25" x14ac:dyDescent="0.4">
      <c r="B10" s="17"/>
      <c r="C10" s="18"/>
      <c r="D10" s="18"/>
      <c r="E10" s="18"/>
      <c r="F10" s="18"/>
      <c r="G10" s="18"/>
      <c r="H10" s="18"/>
      <c r="I10" s="18"/>
      <c r="J10" s="18"/>
      <c r="K10" s="18"/>
      <c r="L10" s="18"/>
      <c r="M10" s="18"/>
      <c r="N10" s="18"/>
      <c r="O10" s="18"/>
      <c r="P10" s="18"/>
      <c r="Q10" s="18"/>
      <c r="R10" s="18"/>
      <c r="S10" s="19"/>
    </row>
    <row r="11" spans="2:19" s="4" customFormat="1" ht="26.25" x14ac:dyDescent="0.4">
      <c r="B11" s="17" t="s">
        <v>28</v>
      </c>
      <c r="C11" s="18"/>
      <c r="D11" s="18"/>
      <c r="E11" s="18"/>
      <c r="F11" s="18"/>
      <c r="G11" s="18"/>
      <c r="H11" s="18"/>
      <c r="I11" s="18"/>
      <c r="J11" s="18"/>
      <c r="K11" s="18"/>
      <c r="L11" s="18"/>
      <c r="M11" s="18"/>
      <c r="N11" s="18"/>
      <c r="O11" s="18"/>
      <c r="P11" s="18"/>
      <c r="Q11" s="18"/>
      <c r="R11" s="18"/>
      <c r="S11" s="19"/>
    </row>
    <row r="12" spans="2:19" ht="20.25" x14ac:dyDescent="0.3">
      <c r="B12" s="20"/>
      <c r="C12" s="21"/>
      <c r="D12" s="21"/>
      <c r="E12" s="21"/>
      <c r="F12" s="21"/>
      <c r="G12" s="21"/>
      <c r="H12" s="21"/>
      <c r="I12" s="21"/>
      <c r="J12" s="21"/>
      <c r="K12" s="21"/>
      <c r="L12" s="21"/>
      <c r="M12" s="21"/>
      <c r="N12" s="21"/>
      <c r="O12" s="21"/>
      <c r="P12" s="21"/>
      <c r="Q12" s="21"/>
      <c r="R12" s="21"/>
      <c r="S12" s="22"/>
    </row>
    <row r="13" spans="2:19" ht="20.25" x14ac:dyDescent="0.3">
      <c r="B13" s="20"/>
      <c r="C13" s="21"/>
      <c r="D13" s="21"/>
      <c r="E13" s="21"/>
      <c r="F13" s="21"/>
      <c r="G13" s="21"/>
      <c r="H13" s="21"/>
      <c r="I13" s="21"/>
      <c r="J13" s="21"/>
      <c r="K13" s="21"/>
      <c r="L13" s="21"/>
      <c r="M13" s="21"/>
      <c r="N13" s="21"/>
      <c r="O13" s="21"/>
      <c r="P13" s="21"/>
      <c r="Q13" s="21"/>
      <c r="R13" s="21"/>
      <c r="S13" s="22"/>
    </row>
    <row r="14" spans="2:19" ht="20.25" x14ac:dyDescent="0.3">
      <c r="B14" s="20"/>
      <c r="C14" s="21"/>
      <c r="D14" s="21"/>
      <c r="E14" s="21"/>
      <c r="F14" s="21"/>
      <c r="G14" s="21"/>
      <c r="H14" s="21"/>
      <c r="I14" s="21"/>
      <c r="J14" s="21"/>
      <c r="K14" s="21"/>
      <c r="L14" s="21"/>
      <c r="M14" s="21"/>
      <c r="N14" s="21"/>
      <c r="O14" s="21"/>
      <c r="P14" s="21"/>
      <c r="Q14" s="21"/>
      <c r="R14" s="21"/>
      <c r="S14" s="22"/>
    </row>
    <row r="15" spans="2:19" x14ac:dyDescent="0.2">
      <c r="B15" s="23"/>
      <c r="C15" s="21"/>
      <c r="D15" s="21"/>
      <c r="E15" s="21"/>
      <c r="F15" s="21"/>
      <c r="G15" s="21"/>
      <c r="H15" s="21"/>
      <c r="I15" s="21"/>
      <c r="J15" s="21"/>
      <c r="K15" s="21"/>
      <c r="L15" s="21"/>
      <c r="M15" s="21"/>
      <c r="N15" s="21"/>
      <c r="O15" s="21"/>
      <c r="P15" s="21"/>
      <c r="Q15" s="21"/>
      <c r="R15" s="21"/>
      <c r="S15" s="22"/>
    </row>
    <row r="16" spans="2:19" x14ac:dyDescent="0.2">
      <c r="B16" s="23"/>
      <c r="C16" s="21"/>
      <c r="D16" s="21"/>
      <c r="E16" s="21"/>
      <c r="F16" s="21"/>
      <c r="G16" s="21"/>
      <c r="H16" s="21"/>
      <c r="I16" s="21"/>
      <c r="J16" s="21"/>
      <c r="K16" s="21"/>
      <c r="L16" s="21"/>
      <c r="M16" s="21"/>
      <c r="N16" s="21"/>
      <c r="O16" s="21"/>
      <c r="P16" s="21"/>
      <c r="Q16" s="21"/>
      <c r="R16" s="21"/>
      <c r="S16" s="22"/>
    </row>
    <row r="17" spans="2:19" x14ac:dyDescent="0.2">
      <c r="B17" s="23"/>
      <c r="C17" s="21"/>
      <c r="D17" s="21"/>
      <c r="E17" s="21"/>
      <c r="F17" s="21"/>
      <c r="G17" s="21"/>
      <c r="H17" s="21"/>
      <c r="I17" s="21"/>
      <c r="J17" s="21"/>
      <c r="K17" s="21"/>
      <c r="L17" s="21"/>
      <c r="M17" s="21"/>
      <c r="N17" s="21"/>
      <c r="O17" s="21"/>
      <c r="P17" s="21"/>
      <c r="Q17" s="21"/>
      <c r="R17" s="21"/>
      <c r="S17" s="22"/>
    </row>
    <row r="18" spans="2:19" x14ac:dyDescent="0.2">
      <c r="B18" s="23"/>
      <c r="C18" s="21"/>
      <c r="D18" s="21"/>
      <c r="E18" s="21"/>
      <c r="F18" s="21"/>
      <c r="G18" s="21"/>
      <c r="H18" s="21"/>
      <c r="I18" s="21"/>
      <c r="J18" s="21"/>
      <c r="K18" s="21"/>
      <c r="L18" s="21"/>
      <c r="M18" s="21"/>
      <c r="N18" s="21"/>
      <c r="O18" s="21"/>
      <c r="P18" s="21"/>
      <c r="Q18" s="21"/>
      <c r="R18" s="21"/>
      <c r="S18" s="22"/>
    </row>
    <row r="19" spans="2:19" x14ac:dyDescent="0.2">
      <c r="B19" s="23"/>
      <c r="C19" s="21"/>
      <c r="D19" s="21"/>
      <c r="E19" s="21"/>
      <c r="F19" s="21"/>
      <c r="G19" s="21"/>
      <c r="H19" s="21"/>
      <c r="I19" s="21"/>
      <c r="J19" s="21"/>
      <c r="K19" s="21"/>
      <c r="L19" s="21"/>
      <c r="M19" s="21"/>
      <c r="N19" s="21"/>
      <c r="O19" s="21"/>
      <c r="P19" s="21"/>
      <c r="Q19" s="21"/>
      <c r="R19" s="21"/>
      <c r="S19" s="22"/>
    </row>
    <row r="20" spans="2:19" x14ac:dyDescent="0.2">
      <c r="B20" s="23"/>
      <c r="C20" s="21"/>
      <c r="D20" s="21"/>
      <c r="E20" s="21"/>
      <c r="F20" s="21"/>
      <c r="G20" s="21"/>
      <c r="H20" s="21"/>
      <c r="I20" s="21"/>
      <c r="J20" s="21"/>
      <c r="K20" s="21"/>
      <c r="L20" s="21"/>
      <c r="M20" s="21"/>
      <c r="N20" s="21"/>
      <c r="O20" s="21"/>
      <c r="P20" s="21"/>
      <c r="Q20" s="21"/>
      <c r="R20" s="21"/>
      <c r="S20" s="22"/>
    </row>
    <row r="21" spans="2:19" x14ac:dyDescent="0.2">
      <c r="B21" s="23"/>
      <c r="C21" s="21"/>
      <c r="D21" s="21"/>
      <c r="E21" s="21"/>
      <c r="F21" s="21"/>
      <c r="G21" s="21"/>
      <c r="H21" s="21"/>
      <c r="I21" s="21"/>
      <c r="J21" s="21"/>
      <c r="K21" s="21"/>
      <c r="L21" s="21"/>
      <c r="M21" s="21"/>
      <c r="N21" s="21"/>
      <c r="O21" s="21"/>
      <c r="P21" s="21"/>
      <c r="Q21" s="21"/>
      <c r="R21" s="21"/>
      <c r="S21" s="22"/>
    </row>
    <row r="22" spans="2:19" x14ac:dyDescent="0.2">
      <c r="B22" s="23"/>
      <c r="C22" s="21"/>
      <c r="D22" s="21"/>
      <c r="E22" s="21"/>
      <c r="F22" s="21"/>
      <c r="G22" s="21"/>
      <c r="H22" s="21"/>
      <c r="I22" s="21"/>
      <c r="J22" s="21"/>
      <c r="K22" s="21"/>
      <c r="L22" s="21"/>
      <c r="M22" s="21"/>
      <c r="N22" s="21"/>
      <c r="O22" s="21"/>
      <c r="P22" s="21"/>
      <c r="Q22" s="21"/>
      <c r="R22" s="21"/>
      <c r="S22" s="22"/>
    </row>
    <row r="23" spans="2:19" x14ac:dyDescent="0.2">
      <c r="B23" s="23"/>
      <c r="C23" s="21"/>
      <c r="D23" s="21"/>
      <c r="E23" s="21"/>
      <c r="F23" s="21"/>
      <c r="G23" s="21"/>
      <c r="H23" s="21"/>
      <c r="I23" s="21"/>
      <c r="J23" s="21"/>
      <c r="K23" s="21"/>
      <c r="L23" s="21"/>
      <c r="M23" s="21"/>
      <c r="N23" s="21"/>
      <c r="O23" s="21"/>
      <c r="P23" s="21"/>
      <c r="Q23" s="21"/>
      <c r="R23" s="21"/>
      <c r="S23" s="22"/>
    </row>
    <row r="24" spans="2:19" x14ac:dyDescent="0.2">
      <c r="B24" s="23"/>
      <c r="C24" s="21"/>
      <c r="D24" s="21"/>
      <c r="E24" s="21"/>
      <c r="F24" s="21"/>
      <c r="G24" s="21"/>
      <c r="H24" s="21"/>
      <c r="I24" s="21"/>
      <c r="J24" s="21"/>
      <c r="K24" s="21"/>
      <c r="L24" s="21"/>
      <c r="M24" s="21"/>
      <c r="N24" s="21"/>
      <c r="O24" s="21"/>
      <c r="P24" s="21"/>
      <c r="Q24" s="21"/>
      <c r="R24" s="21"/>
      <c r="S24" s="22"/>
    </row>
    <row r="25" spans="2:19" x14ac:dyDescent="0.2">
      <c r="B25" s="23"/>
      <c r="C25" s="21"/>
      <c r="D25" s="21"/>
      <c r="E25" s="21"/>
      <c r="F25" s="21"/>
      <c r="G25" s="21"/>
      <c r="H25" s="21"/>
      <c r="I25" s="21"/>
      <c r="J25" s="21"/>
      <c r="K25" s="21"/>
      <c r="L25" s="21"/>
      <c r="M25" s="21"/>
      <c r="N25" s="21"/>
      <c r="O25" s="21"/>
      <c r="P25" s="21"/>
      <c r="Q25" s="21"/>
      <c r="R25" s="21"/>
      <c r="S25" s="22"/>
    </row>
    <row r="26" spans="2:19" x14ac:dyDescent="0.2">
      <c r="B26" s="23"/>
      <c r="C26" s="21"/>
      <c r="D26" s="21"/>
      <c r="E26" s="21"/>
      <c r="F26" s="21"/>
      <c r="G26" s="21"/>
      <c r="H26" s="21"/>
      <c r="I26" s="21"/>
      <c r="J26" s="21"/>
      <c r="K26" s="21"/>
      <c r="L26" s="21"/>
      <c r="M26" s="21"/>
      <c r="N26" s="21"/>
      <c r="O26" s="21"/>
      <c r="P26" s="21"/>
      <c r="Q26" s="21"/>
      <c r="R26" s="21"/>
      <c r="S26" s="22"/>
    </row>
    <row r="27" spans="2:19" x14ac:dyDescent="0.2">
      <c r="B27" s="23"/>
      <c r="C27" s="21"/>
      <c r="D27" s="21"/>
      <c r="E27" s="21"/>
      <c r="F27" s="21"/>
      <c r="G27" s="21"/>
      <c r="H27" s="21"/>
      <c r="I27" s="21"/>
      <c r="J27" s="21"/>
      <c r="K27" s="21"/>
      <c r="L27" s="21"/>
      <c r="M27" s="21"/>
      <c r="N27" s="21"/>
      <c r="O27" s="21"/>
      <c r="P27" s="21"/>
      <c r="Q27" s="21"/>
      <c r="R27" s="21"/>
      <c r="S27" s="22"/>
    </row>
    <row r="28" spans="2:19" s="5" customFormat="1" x14ac:dyDescent="0.2">
      <c r="B28" s="24"/>
      <c r="C28" s="25"/>
      <c r="D28" s="25"/>
      <c r="E28" s="25"/>
      <c r="F28" s="25"/>
      <c r="G28" s="25"/>
      <c r="H28" s="25"/>
      <c r="I28" s="25"/>
      <c r="J28" s="25"/>
      <c r="K28" s="25"/>
      <c r="L28" s="25"/>
      <c r="M28" s="25"/>
      <c r="N28" s="25"/>
      <c r="O28" s="25"/>
      <c r="P28" s="25"/>
      <c r="Q28" s="25"/>
      <c r="R28" s="25"/>
      <c r="S28" s="26"/>
    </row>
    <row r="29" spans="2:19" s="5" customFormat="1" x14ac:dyDescent="0.2">
      <c r="B29" s="24"/>
      <c r="C29" s="25"/>
      <c r="D29" s="25"/>
      <c r="E29" s="25"/>
      <c r="F29" s="25"/>
      <c r="G29" s="25"/>
      <c r="H29" s="25"/>
      <c r="I29" s="25"/>
      <c r="J29" s="25"/>
      <c r="K29" s="25"/>
      <c r="L29" s="25"/>
      <c r="M29" s="25"/>
      <c r="N29" s="25"/>
      <c r="O29" s="25"/>
      <c r="P29" s="25"/>
      <c r="Q29" s="25"/>
      <c r="R29" s="25"/>
      <c r="S29" s="26"/>
    </row>
    <row r="30" spans="2:19" s="5" customFormat="1" x14ac:dyDescent="0.2">
      <c r="B30" s="24"/>
      <c r="C30" s="25"/>
      <c r="D30" s="25"/>
      <c r="E30" s="25"/>
      <c r="F30" s="25"/>
      <c r="G30" s="25"/>
      <c r="H30" s="25"/>
      <c r="I30" s="25"/>
      <c r="J30" s="25"/>
      <c r="K30" s="25"/>
      <c r="L30" s="25"/>
      <c r="M30" s="25"/>
      <c r="N30" s="25"/>
      <c r="O30" s="25"/>
      <c r="P30" s="25"/>
      <c r="Q30" s="25"/>
      <c r="R30" s="25"/>
      <c r="S30" s="26"/>
    </row>
    <row r="31" spans="2:19" s="5" customFormat="1" x14ac:dyDescent="0.2">
      <c r="B31" s="24"/>
      <c r="C31" s="25"/>
      <c r="D31" s="25"/>
      <c r="E31" s="25"/>
      <c r="F31" s="25"/>
      <c r="G31" s="25"/>
      <c r="H31" s="25"/>
      <c r="I31" s="25"/>
      <c r="J31" s="25"/>
      <c r="K31" s="25"/>
      <c r="L31" s="25"/>
      <c r="M31" s="25"/>
      <c r="N31" s="25"/>
      <c r="O31" s="25"/>
      <c r="P31" s="25"/>
      <c r="Q31" s="25"/>
      <c r="R31" s="25"/>
      <c r="S31" s="26"/>
    </row>
    <row r="32" spans="2:19" s="5" customFormat="1" x14ac:dyDescent="0.2">
      <c r="B32" s="24"/>
      <c r="C32" s="25"/>
      <c r="D32" s="25"/>
      <c r="E32" s="25"/>
      <c r="F32" s="25"/>
      <c r="G32" s="25"/>
      <c r="H32" s="25"/>
      <c r="I32" s="25"/>
      <c r="J32" s="25"/>
      <c r="K32" s="25"/>
      <c r="L32" s="25"/>
      <c r="M32" s="25"/>
      <c r="N32" s="25"/>
      <c r="O32" s="25"/>
      <c r="P32" s="25"/>
      <c r="Q32" s="25"/>
      <c r="R32" s="25"/>
      <c r="S32" s="26"/>
    </row>
    <row r="33" spans="2:19" s="5" customFormat="1" x14ac:dyDescent="0.2">
      <c r="B33" s="24"/>
      <c r="C33" s="25"/>
      <c r="D33" s="25"/>
      <c r="E33" s="25"/>
      <c r="F33" s="25"/>
      <c r="G33" s="25"/>
      <c r="H33" s="25"/>
      <c r="I33" s="25"/>
      <c r="J33" s="25"/>
      <c r="K33" s="25"/>
      <c r="L33" s="25"/>
      <c r="M33" s="25"/>
      <c r="N33" s="25"/>
      <c r="O33" s="25"/>
      <c r="P33" s="25"/>
      <c r="Q33" s="25"/>
      <c r="R33" s="25"/>
      <c r="S33" s="26"/>
    </row>
    <row r="34" spans="2:19" s="5" customFormat="1" x14ac:dyDescent="0.2">
      <c r="B34" s="24"/>
      <c r="C34" s="25"/>
      <c r="D34" s="25"/>
      <c r="E34" s="25"/>
      <c r="F34" s="25"/>
      <c r="G34" s="25"/>
      <c r="H34" s="25"/>
      <c r="I34" s="25"/>
      <c r="J34" s="25"/>
      <c r="K34" s="25"/>
      <c r="L34" s="25"/>
      <c r="M34" s="25"/>
      <c r="N34" s="25"/>
      <c r="O34" s="25"/>
      <c r="P34" s="25"/>
      <c r="Q34" s="25"/>
      <c r="R34" s="25"/>
      <c r="S34" s="26"/>
    </row>
    <row r="35" spans="2:19" x14ac:dyDescent="0.2">
      <c r="B35" s="14"/>
      <c r="C35" s="15"/>
      <c r="D35" s="15"/>
      <c r="E35" s="15"/>
      <c r="F35" s="15"/>
      <c r="G35" s="15"/>
      <c r="H35" s="15"/>
      <c r="I35" s="15"/>
      <c r="J35" s="15"/>
      <c r="K35" s="15"/>
      <c r="L35" s="15"/>
      <c r="M35" s="15"/>
      <c r="N35" s="15"/>
      <c r="O35" s="15"/>
      <c r="P35" s="15"/>
      <c r="Q35" s="15"/>
      <c r="R35" s="15"/>
      <c r="S35" s="16"/>
    </row>
    <row r="36" spans="2:19" ht="13.5" thickBot="1" x14ac:dyDescent="0.25">
      <c r="B36" s="27"/>
      <c r="C36" s="28"/>
      <c r="D36" s="28"/>
      <c r="E36" s="28"/>
      <c r="F36" s="28"/>
      <c r="G36" s="28"/>
      <c r="H36" s="28"/>
      <c r="I36" s="28"/>
      <c r="J36" s="28"/>
      <c r="K36" s="28"/>
      <c r="L36" s="28"/>
      <c r="M36" s="28"/>
      <c r="N36" s="28"/>
      <c r="O36" s="28"/>
      <c r="P36" s="28"/>
      <c r="Q36" s="28"/>
      <c r="R36" s="28"/>
      <c r="S36" s="29"/>
    </row>
    <row r="37" spans="2:19" x14ac:dyDescent="0.2"/>
    <row r="38" spans="2:19" x14ac:dyDescent="0.2"/>
    <row r="39" spans="2:19" x14ac:dyDescent="0.2"/>
    <row r="40" spans="2:19" x14ac:dyDescent="0.2"/>
  </sheetData>
  <sheetProtection password="C9BE" sheet="1" objects="1" scenarios="1" selectLockedCells="1" selectUnlockedCells="1"/>
  <customSheetViews>
    <customSheetView guid="{F792C52D-3F7D-4169-B87A-F2F2698FB257}" scale="75" showGridLines="0" hiddenRows="1" hiddenColumns="1" showRuler="0">
      <selection sqref="A1:T65536"/>
      <pageMargins left="0.75" right="0.75" top="1" bottom="1" header="0.5" footer="0.5"/>
      <pageSetup paperSize="9" scale="75" orientation="landscape" horizontalDpi="4294967294" r:id="rId1"/>
      <headerFooter alignWithMargins="0"/>
    </customSheetView>
  </customSheetViews>
  <phoneticPr fontId="4" type="noConversion"/>
  <pageMargins left="0.75" right="0.75" top="1" bottom="1" header="0.5" footer="0.5"/>
  <pageSetup paperSize="9" scale="75" orientation="landscape" horizontalDpi="4294967294"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33"/>
  <sheetViews>
    <sheetView zoomScale="75" workbookViewId="0">
      <selection activeCell="C16" sqref="C16"/>
    </sheetView>
  </sheetViews>
  <sheetFormatPr defaultColWidth="0" defaultRowHeight="12.75" zeroHeight="1" x14ac:dyDescent="0.2"/>
  <cols>
    <col min="1" max="1" width="2.7109375" style="32" customWidth="1"/>
    <col min="2" max="2" width="25.7109375" style="32" customWidth="1"/>
    <col min="3" max="3" width="50.7109375" style="32" customWidth="1"/>
    <col min="4" max="4" width="2.7109375" style="32" customWidth="1"/>
    <col min="5" max="5" width="25.7109375" style="32" customWidth="1"/>
    <col min="6" max="6" width="52.85546875" style="32" customWidth="1"/>
    <col min="7" max="7" width="2.7109375" style="32" customWidth="1"/>
    <col min="8" max="16384" width="0" style="32" hidden="1"/>
  </cols>
  <sheetData>
    <row r="1" spans="2:6" ht="13.5" thickBot="1" x14ac:dyDescent="0.25"/>
    <row r="2" spans="2:6" ht="49.5" customHeight="1" thickBot="1" x14ac:dyDescent="0.25">
      <c r="B2" s="33" t="str">
        <f>'Title Page'!B9</f>
        <v>Benchmarking and Performance Analysis of Next Generation Carbon Capture Technologies</v>
      </c>
      <c r="C2" s="34"/>
      <c r="D2" s="34"/>
      <c r="E2" s="34"/>
      <c r="F2" s="35"/>
    </row>
    <row r="3" spans="2:6" ht="15" customHeight="1" x14ac:dyDescent="0.2">
      <c r="B3" s="36"/>
      <c r="C3" s="37"/>
      <c r="D3" s="38"/>
      <c r="E3" s="39"/>
      <c r="F3" s="40"/>
    </row>
    <row r="4" spans="2:6" ht="15" customHeight="1" x14ac:dyDescent="0.2">
      <c r="B4" s="41" t="s">
        <v>31</v>
      </c>
      <c r="C4" s="42"/>
      <c r="D4" s="43"/>
      <c r="E4" s="44" t="s">
        <v>32</v>
      </c>
      <c r="F4" s="45"/>
    </row>
    <row r="5" spans="2:6" ht="15" customHeight="1" x14ac:dyDescent="0.2">
      <c r="B5" s="46"/>
      <c r="C5" s="47"/>
      <c r="D5" s="43"/>
      <c r="E5" s="48"/>
      <c r="F5" s="49"/>
    </row>
    <row r="6" spans="2:6" ht="15" customHeight="1" x14ac:dyDescent="0.2">
      <c r="B6" s="50"/>
      <c r="C6" s="51"/>
      <c r="D6" s="43"/>
      <c r="E6" s="52" t="s">
        <v>33</v>
      </c>
      <c r="F6" s="53" t="s">
        <v>34</v>
      </c>
    </row>
    <row r="7" spans="2:6" ht="15" customHeight="1" x14ac:dyDescent="0.2">
      <c r="B7" s="54" t="s">
        <v>35</v>
      </c>
      <c r="C7" s="51" t="s">
        <v>66</v>
      </c>
      <c r="D7" s="43"/>
      <c r="E7" s="55" t="s">
        <v>36</v>
      </c>
      <c r="F7" s="53" t="s">
        <v>51</v>
      </c>
    </row>
    <row r="8" spans="2:6" ht="15" customHeight="1" x14ac:dyDescent="0.2">
      <c r="B8" s="54" t="s">
        <v>37</v>
      </c>
      <c r="C8" s="51"/>
      <c r="D8" s="43"/>
      <c r="E8" s="55" t="s">
        <v>30</v>
      </c>
      <c r="F8" s="53" t="s">
        <v>38</v>
      </c>
    </row>
    <row r="9" spans="2:6" ht="15" customHeight="1" x14ac:dyDescent="0.2">
      <c r="B9" s="54" t="s">
        <v>39</v>
      </c>
      <c r="C9" s="51"/>
      <c r="D9" s="43"/>
      <c r="E9" s="55" t="s">
        <v>52</v>
      </c>
      <c r="F9" s="53" t="s">
        <v>61</v>
      </c>
    </row>
    <row r="10" spans="2:6" ht="15" customHeight="1" x14ac:dyDescent="0.2">
      <c r="B10" s="56" t="s">
        <v>40</v>
      </c>
      <c r="C10" s="57"/>
      <c r="D10" s="43"/>
      <c r="E10" s="55" t="s">
        <v>53</v>
      </c>
      <c r="F10" s="53" t="s">
        <v>62</v>
      </c>
    </row>
    <row r="11" spans="2:6" ht="15" customHeight="1" x14ac:dyDescent="0.2">
      <c r="B11" s="58"/>
      <c r="C11" s="42"/>
      <c r="D11" s="43"/>
      <c r="E11" s="55" t="s">
        <v>211</v>
      </c>
      <c r="F11" s="53" t="s">
        <v>212</v>
      </c>
    </row>
    <row r="12" spans="2:6" ht="15" customHeight="1" x14ac:dyDescent="0.2">
      <c r="B12" s="41" t="s">
        <v>41</v>
      </c>
      <c r="C12" s="42"/>
      <c r="D12" s="43"/>
      <c r="E12" s="55" t="s">
        <v>210</v>
      </c>
      <c r="F12" s="53" t="s">
        <v>213</v>
      </c>
    </row>
    <row r="13" spans="2:6" ht="15" customHeight="1" x14ac:dyDescent="0.2">
      <c r="B13" s="46"/>
      <c r="C13" s="47"/>
      <c r="D13" s="43"/>
      <c r="E13" s="55" t="s">
        <v>54</v>
      </c>
      <c r="F13" s="53" t="s">
        <v>63</v>
      </c>
    </row>
    <row r="14" spans="2:6" ht="15" customHeight="1" x14ac:dyDescent="0.2">
      <c r="B14" s="50" t="s">
        <v>42</v>
      </c>
      <c r="C14" s="51" t="s">
        <v>206</v>
      </c>
      <c r="D14" s="43"/>
      <c r="E14" s="55" t="s">
        <v>55</v>
      </c>
      <c r="F14" s="53" t="s">
        <v>64</v>
      </c>
    </row>
    <row r="15" spans="2:6" ht="15" customHeight="1" x14ac:dyDescent="0.2">
      <c r="B15" s="54" t="s">
        <v>43</v>
      </c>
      <c r="C15" s="51" t="s">
        <v>238</v>
      </c>
      <c r="D15" s="43"/>
      <c r="E15" s="55" t="s">
        <v>56</v>
      </c>
      <c r="F15" s="53" t="s">
        <v>65</v>
      </c>
    </row>
    <row r="16" spans="2:6" ht="15" customHeight="1" x14ac:dyDescent="0.2">
      <c r="B16" s="56" t="s">
        <v>44</v>
      </c>
      <c r="C16" s="232">
        <v>1</v>
      </c>
      <c r="D16" s="43"/>
      <c r="E16" s="55" t="s">
        <v>57</v>
      </c>
      <c r="F16" s="53" t="s">
        <v>60</v>
      </c>
    </row>
    <row r="17" spans="2:6" ht="15" customHeight="1" x14ac:dyDescent="0.2">
      <c r="B17" s="54" t="s">
        <v>45</v>
      </c>
      <c r="C17" s="212" t="s">
        <v>239</v>
      </c>
      <c r="D17" s="43"/>
      <c r="E17" s="55" t="s">
        <v>58</v>
      </c>
      <c r="F17" s="53" t="s">
        <v>59</v>
      </c>
    </row>
    <row r="18" spans="2:6" ht="15" customHeight="1" x14ac:dyDescent="0.2">
      <c r="B18" s="60"/>
      <c r="C18" s="59"/>
      <c r="D18" s="43"/>
      <c r="E18" s="55"/>
      <c r="F18" s="53"/>
    </row>
    <row r="19" spans="2:6" ht="15" customHeight="1" x14ac:dyDescent="0.2">
      <c r="B19" s="60"/>
      <c r="C19" s="59"/>
      <c r="D19" s="43"/>
      <c r="E19" s="55"/>
      <c r="F19" s="53"/>
    </row>
    <row r="20" spans="2:6" ht="15" customHeight="1" x14ac:dyDescent="0.2">
      <c r="B20" s="60"/>
      <c r="C20" s="212"/>
      <c r="D20" s="43"/>
      <c r="E20" s="61"/>
      <c r="F20" s="62"/>
    </row>
    <row r="21" spans="2:6" ht="15" customHeight="1" x14ac:dyDescent="0.2">
      <c r="B21" s="60"/>
      <c r="C21" s="59"/>
      <c r="D21" s="43"/>
      <c r="E21" s="63"/>
      <c r="F21" s="45"/>
    </row>
    <row r="22" spans="2:6" ht="15" customHeight="1" x14ac:dyDescent="0.2">
      <c r="B22" s="64"/>
      <c r="C22" s="65"/>
      <c r="D22" s="43"/>
      <c r="E22" s="66" t="s">
        <v>46</v>
      </c>
      <c r="F22" s="45"/>
    </row>
    <row r="23" spans="2:6" ht="15" customHeight="1" x14ac:dyDescent="0.2">
      <c r="B23" s="58"/>
      <c r="C23" s="42"/>
      <c r="D23" s="43"/>
      <c r="E23" s="48"/>
      <c r="F23" s="49"/>
    </row>
    <row r="24" spans="2:6" ht="15" customHeight="1" x14ac:dyDescent="0.2">
      <c r="B24" s="41" t="s">
        <v>47</v>
      </c>
      <c r="C24" s="42"/>
      <c r="D24" s="43"/>
      <c r="E24" s="67" t="s">
        <v>48</v>
      </c>
      <c r="F24" s="68"/>
    </row>
    <row r="25" spans="2:6" ht="15" customHeight="1" x14ac:dyDescent="0.2">
      <c r="B25" s="46"/>
      <c r="C25" s="47"/>
      <c r="D25" s="43"/>
      <c r="E25" s="67" t="s">
        <v>49</v>
      </c>
      <c r="F25" s="68"/>
    </row>
    <row r="26" spans="2:6" ht="15" customHeight="1" x14ac:dyDescent="0.2">
      <c r="B26" s="69"/>
      <c r="C26" s="70"/>
      <c r="D26" s="43"/>
      <c r="E26" s="67" t="s">
        <v>205</v>
      </c>
      <c r="F26" s="68"/>
    </row>
    <row r="27" spans="2:6" ht="15" customHeight="1" x14ac:dyDescent="0.2">
      <c r="B27" s="69"/>
      <c r="C27" s="70"/>
      <c r="D27" s="43"/>
      <c r="E27" s="67" t="s">
        <v>204</v>
      </c>
      <c r="F27" s="68"/>
    </row>
    <row r="28" spans="2:6" ht="15" customHeight="1" x14ac:dyDescent="0.2">
      <c r="B28" s="69"/>
      <c r="C28" s="70"/>
      <c r="D28" s="43"/>
      <c r="E28" s="67" t="s">
        <v>50</v>
      </c>
      <c r="F28" s="68"/>
    </row>
    <row r="29" spans="2:6" ht="15" customHeight="1" x14ac:dyDescent="0.2">
      <c r="B29" s="69"/>
      <c r="C29" s="70"/>
      <c r="D29" s="43"/>
      <c r="E29" s="67"/>
      <c r="F29" s="68"/>
    </row>
    <row r="30" spans="2:6" ht="15" customHeight="1" x14ac:dyDescent="0.2">
      <c r="B30" s="69"/>
      <c r="C30" s="70"/>
      <c r="D30" s="43"/>
      <c r="E30" s="67"/>
      <c r="F30" s="68"/>
    </row>
    <row r="31" spans="2:6" ht="15" customHeight="1" x14ac:dyDescent="0.2">
      <c r="B31" s="69"/>
      <c r="C31" s="70"/>
      <c r="D31" s="43"/>
      <c r="E31" s="67"/>
      <c r="F31" s="68"/>
    </row>
    <row r="32" spans="2:6" ht="15" customHeight="1" thickBot="1" x14ac:dyDescent="0.25">
      <c r="B32" s="71"/>
      <c r="C32" s="72"/>
      <c r="D32" s="73"/>
      <c r="E32" s="74"/>
      <c r="F32" s="75"/>
    </row>
    <row r="33" x14ac:dyDescent="0.2"/>
  </sheetData>
  <sheetProtection selectLockedCells="1" selectUnlockedCells="1"/>
  <customSheetViews>
    <customSheetView guid="{F792C52D-3F7D-4169-B87A-F2F2698FB257}" scale="75" fitToPage="1" hiddenRows="1" hiddenColumns="1" showRuler="0">
      <selection activeCell="F19" sqref="F19"/>
      <pageMargins left="0.75" right="0.75" top="1" bottom="1" header="0.5" footer="0.5"/>
      <pageSetup paperSize="9" scale="83" orientation="landscape" horizontalDpi="4294967294" r:id="rId1"/>
      <headerFooter alignWithMargins="0">
        <oddHeader>&amp;LFoster Wheeler&amp;CEconomic Model&amp;R&amp;P of &amp;N</oddHeader>
        <oddFooter>&amp;L&amp;F&amp;C&amp;A&amp;R&amp;D &amp;T</oddFooter>
      </headerFooter>
    </customSheetView>
  </customSheetViews>
  <phoneticPr fontId="4" type="noConversion"/>
  <pageMargins left="0.75" right="0.75" top="1" bottom="1" header="0.5" footer="0.5"/>
  <pageSetup paperSize="9" scale="83" orientation="landscape" horizontalDpi="4294967294" r:id="rId2"/>
  <headerFooter alignWithMargins="0">
    <oddHeader>&amp;LFoster Wheeler&amp;CEconomic Model&amp;R&amp;P of &amp;N</oddHeader>
    <oddFooter>&amp;L&amp;F&amp;C&amp;A&amp;R&amp;D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65536"/>
  <sheetViews>
    <sheetView zoomScale="75" zoomScaleNormal="75" workbookViewId="0">
      <pane xSplit="4" ySplit="5" topLeftCell="E12" activePane="bottomRight" state="frozen"/>
      <selection pane="topRight" activeCell="E1" sqref="E1"/>
      <selection pane="bottomLeft" activeCell="A6" sqref="A6"/>
      <selection pane="bottomRight" activeCell="G38" sqref="G38"/>
    </sheetView>
  </sheetViews>
  <sheetFormatPr defaultRowHeight="12.75" zeroHeight="1" x14ac:dyDescent="0.2"/>
  <cols>
    <col min="1" max="1" width="9.7109375" customWidth="1"/>
    <col min="2" max="2" width="45.5703125" customWidth="1"/>
    <col min="3" max="3" width="12.7109375" style="31" customWidth="1"/>
    <col min="4" max="4" width="14.42578125" customWidth="1"/>
    <col min="5" max="5" width="12.7109375" customWidth="1"/>
    <col min="6" max="6" width="11.42578125" customWidth="1"/>
    <col min="7" max="7" width="15.7109375" customWidth="1"/>
    <col min="8" max="8" width="12.85546875" customWidth="1"/>
    <col min="9" max="9" width="24.140625" customWidth="1"/>
    <col min="10" max="10" width="8.85546875" customWidth="1"/>
    <col min="11" max="11" width="15.85546875" customWidth="1"/>
    <col min="12" max="12" width="14.5703125" customWidth="1"/>
    <col min="13" max="14" width="12.7109375" customWidth="1"/>
    <col min="15" max="15" width="11" customWidth="1"/>
    <col min="16" max="16" width="19.140625" customWidth="1"/>
    <col min="17" max="17" width="14.5703125" customWidth="1"/>
    <col min="18" max="18" width="12.7109375" customWidth="1"/>
    <col min="19" max="19" width="14" customWidth="1"/>
    <col min="20" max="20" width="12.7109375" customWidth="1"/>
    <col min="21" max="21" width="15.140625" customWidth="1"/>
    <col min="22" max="25" width="12.7109375" customWidth="1"/>
    <col min="26" max="26" width="14.7109375" customWidth="1"/>
    <col min="27" max="27" width="12.7109375" customWidth="1"/>
    <col min="28" max="28" width="13.7109375" customWidth="1"/>
    <col min="29" max="29" width="16.140625" customWidth="1"/>
    <col min="30" max="30" width="13.7109375" customWidth="1"/>
    <col min="31" max="31" width="14.42578125" customWidth="1"/>
    <col min="32" max="32" width="13.5703125" customWidth="1"/>
    <col min="33" max="33" width="13.85546875" customWidth="1"/>
    <col min="34" max="34" width="15.42578125" customWidth="1"/>
    <col min="35" max="35" width="14" customWidth="1"/>
    <col min="36" max="36" width="15.5703125" customWidth="1"/>
    <col min="37" max="37" width="16.85546875" customWidth="1"/>
    <col min="38" max="38" width="17" customWidth="1"/>
    <col min="39" max="39" width="13.28515625" customWidth="1"/>
    <col min="40" max="40" width="12.42578125" customWidth="1"/>
    <col min="41" max="41" width="16" customWidth="1"/>
    <col min="42" max="42" width="16.42578125" customWidth="1"/>
    <col min="43" max="43" width="12.5703125" customWidth="1"/>
    <col min="45" max="45" width="17.7109375" customWidth="1"/>
    <col min="46" max="46" width="13" customWidth="1"/>
    <col min="47" max="47" width="16" customWidth="1"/>
    <col min="48" max="48" width="16.42578125" customWidth="1"/>
    <col min="49" max="49" width="17.85546875" customWidth="1"/>
    <col min="50" max="50" width="13.85546875" customWidth="1"/>
    <col min="56" max="56" width="14.140625" customWidth="1"/>
    <col min="57" max="57" width="12.7109375" customWidth="1"/>
    <col min="58" max="58" width="14.42578125" customWidth="1"/>
  </cols>
  <sheetData>
    <row r="1" spans="1:59" x14ac:dyDescent="0.2">
      <c r="A1" s="296" t="s">
        <v>29</v>
      </c>
      <c r="B1" s="297"/>
      <c r="C1" s="297"/>
      <c r="D1" s="297"/>
      <c r="E1" s="297"/>
      <c r="F1" s="297"/>
      <c r="G1" s="297"/>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59" x14ac:dyDescent="0.2">
      <c r="A2" s="297"/>
      <c r="B2" s="297"/>
      <c r="C2" s="297"/>
      <c r="D2" s="297"/>
      <c r="E2" s="297"/>
      <c r="F2" s="297"/>
      <c r="G2" s="297"/>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row>
    <row r="3" spans="1:59" ht="18" x14ac:dyDescent="0.25">
      <c r="A3" s="298" t="s">
        <v>30</v>
      </c>
      <c r="B3" s="299"/>
      <c r="C3" s="299"/>
      <c r="D3" s="299"/>
      <c r="E3" s="299"/>
      <c r="F3" s="299"/>
      <c r="G3" s="299"/>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row>
    <row r="4" spans="1:59" x14ac:dyDescent="0.2">
      <c r="A4" s="182"/>
      <c r="B4" s="182"/>
      <c r="C4" s="183"/>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M4" s="102"/>
      <c r="AN4" s="102"/>
      <c r="AO4" s="102"/>
      <c r="AP4" s="102"/>
      <c r="AQ4" s="102"/>
      <c r="AR4" s="102"/>
      <c r="AS4" s="102"/>
    </row>
    <row r="5" spans="1:59" ht="18.75" thickBot="1" x14ac:dyDescent="0.3">
      <c r="A5" s="184"/>
      <c r="B5" s="184"/>
      <c r="C5" s="185"/>
      <c r="D5" s="184"/>
      <c r="E5" s="184"/>
      <c r="F5" s="186" t="s">
        <v>52</v>
      </c>
      <c r="G5" s="186"/>
      <c r="H5" s="184"/>
      <c r="I5" s="184"/>
      <c r="J5" s="184"/>
      <c r="K5" s="184"/>
      <c r="L5" s="186"/>
      <c r="M5" s="186" t="s">
        <v>53</v>
      </c>
      <c r="N5" s="184"/>
      <c r="O5" s="184"/>
      <c r="P5" s="184"/>
      <c r="Q5" s="186"/>
      <c r="R5" s="184"/>
      <c r="S5" s="194"/>
      <c r="T5" s="195" t="s">
        <v>211</v>
      </c>
      <c r="U5" s="194"/>
      <c r="V5" s="194"/>
      <c r="W5" s="184"/>
      <c r="X5" s="184"/>
      <c r="Y5" s="184"/>
      <c r="Z5" s="194"/>
      <c r="AA5" s="195" t="s">
        <v>54</v>
      </c>
      <c r="AB5" s="194"/>
      <c r="AC5" s="194"/>
      <c r="AD5" s="184"/>
      <c r="AE5" s="184"/>
      <c r="AF5" s="184"/>
      <c r="AG5" s="194"/>
      <c r="AH5" s="195" t="s">
        <v>55</v>
      </c>
      <c r="AI5" s="194"/>
      <c r="AJ5" s="194"/>
      <c r="AK5" s="198"/>
      <c r="AL5" s="198"/>
      <c r="AM5" s="198"/>
      <c r="AN5" s="195"/>
      <c r="AO5" s="195" t="s">
        <v>56</v>
      </c>
      <c r="AP5" s="194"/>
      <c r="AQ5" s="194"/>
      <c r="AR5" s="199"/>
      <c r="AS5" s="199"/>
      <c r="AT5" s="198"/>
      <c r="AU5" s="194"/>
      <c r="AV5" s="195" t="s">
        <v>158</v>
      </c>
      <c r="AW5" s="194"/>
      <c r="AX5" s="194"/>
      <c r="BE5" s="195" t="s">
        <v>210</v>
      </c>
    </row>
    <row r="6" spans="1:59" ht="13.5" thickBot="1" x14ac:dyDescent="0.25">
      <c r="E6" s="103"/>
      <c r="F6" s="108"/>
      <c r="G6" s="139"/>
      <c r="H6" s="140"/>
      <c r="L6" s="103"/>
      <c r="M6" s="108"/>
      <c r="N6" s="139"/>
      <c r="O6" s="140"/>
      <c r="S6" s="103"/>
      <c r="T6" s="108"/>
      <c r="U6" s="139"/>
      <c r="V6" s="140"/>
      <c r="Z6" s="103"/>
      <c r="AA6" s="108"/>
      <c r="AB6" s="139"/>
      <c r="AC6" s="140"/>
      <c r="AG6" s="104"/>
      <c r="AH6" s="109"/>
      <c r="AI6" s="197"/>
      <c r="AJ6" s="166"/>
      <c r="AN6" s="104"/>
      <c r="AO6" s="109"/>
      <c r="AP6" s="197"/>
      <c r="AQ6" s="166"/>
      <c r="AU6" s="104"/>
      <c r="AV6" s="109"/>
      <c r="AW6" s="197"/>
      <c r="AX6" s="166"/>
      <c r="AY6" s="148"/>
      <c r="AZ6" s="148"/>
      <c r="BA6" s="148"/>
      <c r="BD6" s="103"/>
      <c r="BE6" s="108"/>
      <c r="BF6" s="139"/>
      <c r="BG6" s="140"/>
    </row>
    <row r="7" spans="1:59" ht="13.5" thickBot="1" x14ac:dyDescent="0.25">
      <c r="E7" s="114" t="s">
        <v>74</v>
      </c>
      <c r="F7" s="115" t="s">
        <v>72</v>
      </c>
      <c r="G7" s="133" t="s">
        <v>75</v>
      </c>
      <c r="H7" s="141"/>
      <c r="L7" s="114" t="s">
        <v>74</v>
      </c>
      <c r="M7" s="115" t="s">
        <v>72</v>
      </c>
      <c r="N7" s="133" t="s">
        <v>75</v>
      </c>
      <c r="O7" s="141"/>
      <c r="S7" s="114" t="s">
        <v>74</v>
      </c>
      <c r="T7" s="115" t="s">
        <v>72</v>
      </c>
      <c r="U7" s="133" t="s">
        <v>75</v>
      </c>
      <c r="V7" s="141"/>
      <c r="Z7" s="114" t="s">
        <v>74</v>
      </c>
      <c r="AA7" s="115" t="s">
        <v>72</v>
      </c>
      <c r="AB7" s="133" t="s">
        <v>75</v>
      </c>
      <c r="AC7" s="141"/>
      <c r="AG7" s="114" t="s">
        <v>74</v>
      </c>
      <c r="AH7" s="115" t="s">
        <v>72</v>
      </c>
      <c r="AI7" s="133" t="s">
        <v>75</v>
      </c>
      <c r="AJ7" s="141"/>
      <c r="AN7" s="114" t="s">
        <v>74</v>
      </c>
      <c r="AO7" s="115" t="s">
        <v>72</v>
      </c>
      <c r="AP7" s="133" t="s">
        <v>75</v>
      </c>
      <c r="AQ7" s="141"/>
      <c r="AU7" s="114" t="s">
        <v>74</v>
      </c>
      <c r="AV7" s="115" t="s">
        <v>72</v>
      </c>
      <c r="AW7" s="133" t="s">
        <v>75</v>
      </c>
      <c r="AX7" s="141"/>
      <c r="AY7" s="78"/>
      <c r="AZ7" s="78"/>
      <c r="BA7" s="78"/>
      <c r="BD7" s="114" t="s">
        <v>74</v>
      </c>
      <c r="BE7" s="115" t="s">
        <v>72</v>
      </c>
      <c r="BF7" s="133" t="s">
        <v>75</v>
      </c>
      <c r="BG7" s="141"/>
    </row>
    <row r="8" spans="1:59" ht="15.75" x14ac:dyDescent="0.25">
      <c r="A8" s="100" t="s">
        <v>98</v>
      </c>
      <c r="E8" s="104"/>
      <c r="F8" s="109"/>
      <c r="G8" s="134"/>
      <c r="H8" s="141"/>
      <c r="L8" s="104"/>
      <c r="M8" s="109"/>
      <c r="N8" s="134"/>
      <c r="O8" s="141"/>
      <c r="S8" s="104"/>
      <c r="T8" s="109"/>
      <c r="U8" s="134"/>
      <c r="V8" s="141"/>
      <c r="Z8" s="104"/>
      <c r="AA8" s="109"/>
      <c r="AB8" s="134"/>
      <c r="AC8" s="141"/>
      <c r="AG8" s="104"/>
      <c r="AH8" s="109"/>
      <c r="AI8" s="134"/>
      <c r="AJ8" s="141"/>
      <c r="AN8" s="104"/>
      <c r="AO8" s="109"/>
      <c r="AP8" s="134"/>
      <c r="AQ8" s="141"/>
      <c r="AU8" s="104"/>
      <c r="AV8" s="109"/>
      <c r="AW8" s="134"/>
      <c r="AX8" s="141"/>
      <c r="AY8" s="148"/>
      <c r="AZ8" s="148"/>
      <c r="BA8" s="148"/>
      <c r="BD8" s="104"/>
      <c r="BE8" s="109"/>
      <c r="BF8" s="134"/>
      <c r="BG8" s="141"/>
    </row>
    <row r="9" spans="1:59" ht="15.75" x14ac:dyDescent="0.25">
      <c r="A9" s="76"/>
      <c r="E9" s="104"/>
      <c r="F9" s="109"/>
      <c r="H9" s="141"/>
      <c r="L9" s="104"/>
      <c r="M9" s="109"/>
      <c r="N9" s="135"/>
      <c r="O9" s="141"/>
      <c r="S9" s="104"/>
      <c r="T9" s="109"/>
      <c r="U9" s="135"/>
      <c r="V9" s="141"/>
      <c r="Z9" s="104"/>
      <c r="AA9" s="109"/>
      <c r="AB9" s="135"/>
      <c r="AC9" s="141"/>
      <c r="AG9" s="104"/>
      <c r="AH9" s="109"/>
      <c r="AI9" s="135"/>
      <c r="AJ9" s="141"/>
      <c r="AN9" s="104"/>
      <c r="AO9" s="109"/>
      <c r="AP9" s="135"/>
      <c r="AQ9" s="141"/>
      <c r="AU9" s="104"/>
      <c r="AV9" s="109"/>
      <c r="AW9" s="135"/>
      <c r="AX9" s="141"/>
      <c r="AY9" s="148"/>
      <c r="AZ9" s="148"/>
      <c r="BA9" s="148"/>
      <c r="BD9" s="104"/>
      <c r="BE9" s="109"/>
      <c r="BF9" s="135"/>
      <c r="BG9" s="141"/>
    </row>
    <row r="10" spans="1:59" ht="13.5" thickBot="1" x14ac:dyDescent="0.25">
      <c r="A10" s="95" t="s">
        <v>78</v>
      </c>
      <c r="B10" s="96"/>
      <c r="C10" s="97"/>
      <c r="D10" s="96"/>
      <c r="E10" s="105"/>
      <c r="F10" s="110"/>
      <c r="G10" s="219">
        <f>IF(PRODUCT(F11:F23)=1,0,1)</f>
        <v>0</v>
      </c>
      <c r="H10" s="141"/>
      <c r="L10" s="105"/>
      <c r="M10" s="110"/>
      <c r="N10" s="219">
        <f>IF(PRODUCT(M11:M23)=1,0,1)</f>
        <v>0</v>
      </c>
      <c r="O10" s="141"/>
      <c r="S10" s="105"/>
      <c r="T10" s="110"/>
      <c r="U10" s="219">
        <f>IF(PRODUCT(T11:T23)=1,0,1)</f>
        <v>0</v>
      </c>
      <c r="V10" s="141"/>
      <c r="Z10" s="105"/>
      <c r="AA10" s="110"/>
      <c r="AB10" s="219">
        <f>IF(PRODUCT(AA11:AA23)=1,0,1)</f>
        <v>0</v>
      </c>
      <c r="AC10" s="141"/>
      <c r="AG10" s="105"/>
      <c r="AH10" s="110"/>
      <c r="AI10" s="219">
        <f>IF(PRODUCT(AH11:AH23)=1,0,1)</f>
        <v>0</v>
      </c>
      <c r="AJ10" s="141"/>
      <c r="AN10" s="105"/>
      <c r="AO10" s="110"/>
      <c r="AP10" s="219">
        <f>IF(PRODUCT(AO11:AO23)=1,0,1)</f>
        <v>0</v>
      </c>
      <c r="AQ10" s="141"/>
      <c r="AU10" s="105"/>
      <c r="AV10" s="110"/>
      <c r="AW10" s="219">
        <f>IF(PRODUCT(AV11:AV23)=1,0,1)</f>
        <v>0</v>
      </c>
      <c r="AX10" s="141"/>
      <c r="AY10" s="149"/>
      <c r="AZ10" s="149"/>
      <c r="BA10" s="149"/>
      <c r="BD10" s="105"/>
      <c r="BE10" s="110"/>
      <c r="BF10" s="219">
        <f>IF(PRODUCT(BE11:BE23)=1,0,1)</f>
        <v>0</v>
      </c>
      <c r="BG10" s="141"/>
    </row>
    <row r="11" spans="1:59" x14ac:dyDescent="0.2">
      <c r="A11" s="96" t="s">
        <v>80</v>
      </c>
      <c r="B11" s="96"/>
      <c r="C11" s="97"/>
      <c r="D11" s="116" t="s">
        <v>84</v>
      </c>
      <c r="E11" s="284">
        <f>SUM(E12:E14)</f>
        <v>923.8</v>
      </c>
      <c r="F11" s="110" t="s">
        <v>87</v>
      </c>
      <c r="G11" s="172">
        <f>E11</f>
        <v>923.8</v>
      </c>
      <c r="H11" s="285" t="str">
        <f>IF(G10=1,"Performance Data: User Adjusted","")</f>
        <v/>
      </c>
      <c r="L11" s="217">
        <f>SUM(L12:L14)</f>
        <v>878.1</v>
      </c>
      <c r="M11" s="110" t="s">
        <v>87</v>
      </c>
      <c r="N11" s="172">
        <f>L11</f>
        <v>878.1</v>
      </c>
      <c r="O11" s="285" t="str">
        <f>IF(N10=1,"Performance Data: User Adjusted","")</f>
        <v/>
      </c>
      <c r="S11" s="217">
        <f>SUM(S12:S14)</f>
        <v>955.3</v>
      </c>
      <c r="T11" s="110" t="s">
        <v>87</v>
      </c>
      <c r="U11" s="172">
        <f>S11</f>
        <v>955.3</v>
      </c>
      <c r="V11" s="285" t="str">
        <f>IF(U10=1,"Performance Data: User Adjusted","")</f>
        <v/>
      </c>
      <c r="Z11" s="217">
        <f>SUM(Z12:Z14)</f>
        <v>1037.5999999999999</v>
      </c>
      <c r="AA11" s="110" t="s">
        <v>87</v>
      </c>
      <c r="AB11" s="172">
        <f>Z11</f>
        <v>1037.5999999999999</v>
      </c>
      <c r="AC11" s="285" t="str">
        <f>IF(AB10=1,"Performance Data: User Adjusted","")</f>
        <v/>
      </c>
      <c r="AG11" s="217">
        <f>SUM(AG12:AG14)</f>
        <v>745.7</v>
      </c>
      <c r="AH11" s="110" t="s">
        <v>87</v>
      </c>
      <c r="AI11" s="172">
        <f>AG11</f>
        <v>745.7</v>
      </c>
      <c r="AJ11" s="285" t="str">
        <f>IF(AI10=1,"Performance Data: User Adjusted","")</f>
        <v/>
      </c>
      <c r="AN11" s="217">
        <f>SUM(AN12:AN14)</f>
        <v>836.2</v>
      </c>
      <c r="AO11" s="110" t="s">
        <v>87</v>
      </c>
      <c r="AP11" s="172">
        <f>AN11</f>
        <v>836.2</v>
      </c>
      <c r="AQ11" s="285" t="str">
        <f>IF(AP10=1,"Performance Data: User Adjusted","")</f>
        <v/>
      </c>
      <c r="AU11" s="217">
        <f>SUM(AU12:AU14)</f>
        <v>855.4</v>
      </c>
      <c r="AV11" s="110" t="s">
        <v>87</v>
      </c>
      <c r="AW11" s="172">
        <f>AU11</f>
        <v>855.4</v>
      </c>
      <c r="AX11" s="285" t="str">
        <f>IF(AW10=1,"Performance Data: User Adjusted","")</f>
        <v/>
      </c>
      <c r="AY11" s="149"/>
      <c r="AZ11" s="149"/>
      <c r="BA11" s="151"/>
      <c r="BD11" s="217">
        <v>970.7</v>
      </c>
      <c r="BE11" s="110" t="s">
        <v>87</v>
      </c>
      <c r="BF11" s="172">
        <f>BD11</f>
        <v>970.7</v>
      </c>
      <c r="BG11" s="285" t="str">
        <f>IF(BF10=1,"Performance Data: User Adjusted","")</f>
        <v/>
      </c>
    </row>
    <row r="12" spans="1:59" x14ac:dyDescent="0.2">
      <c r="A12" s="95"/>
      <c r="B12" s="96" t="s">
        <v>81</v>
      </c>
      <c r="C12" s="97"/>
      <c r="D12" s="116" t="s">
        <v>84</v>
      </c>
      <c r="E12" s="284">
        <v>544.4</v>
      </c>
      <c r="F12" s="110" t="s">
        <v>87</v>
      </c>
      <c r="G12" s="172">
        <f>E12</f>
        <v>544.4</v>
      </c>
      <c r="H12" s="286"/>
      <c r="L12" s="217">
        <v>514.5</v>
      </c>
      <c r="M12" s="110" t="s">
        <v>87</v>
      </c>
      <c r="N12" s="172">
        <f>L12</f>
        <v>514.5</v>
      </c>
      <c r="O12" s="286"/>
      <c r="S12" s="217">
        <v>729.1</v>
      </c>
      <c r="T12" s="110" t="s">
        <v>87</v>
      </c>
      <c r="U12" s="172">
        <f>S12</f>
        <v>729.1</v>
      </c>
      <c r="V12" s="286"/>
      <c r="Z12" s="217">
        <v>729.1</v>
      </c>
      <c r="AA12" s="110" t="s">
        <v>87</v>
      </c>
      <c r="AB12" s="172">
        <f>Z12</f>
        <v>729.1</v>
      </c>
      <c r="AC12" s="286"/>
      <c r="AG12" s="217" t="s">
        <v>87</v>
      </c>
      <c r="AH12" s="110" t="s">
        <v>87</v>
      </c>
      <c r="AI12" s="110" t="s">
        <v>87</v>
      </c>
      <c r="AJ12" s="286"/>
      <c r="AN12" s="217" t="s">
        <v>87</v>
      </c>
      <c r="AO12" s="110" t="s">
        <v>87</v>
      </c>
      <c r="AP12" s="110" t="s">
        <v>87</v>
      </c>
      <c r="AQ12" s="286"/>
      <c r="AU12" s="217" t="s">
        <v>87</v>
      </c>
      <c r="AV12" s="110" t="s">
        <v>87</v>
      </c>
      <c r="AW12" s="110" t="s">
        <v>87</v>
      </c>
      <c r="AX12" s="286"/>
      <c r="AY12" s="149"/>
      <c r="AZ12" s="149"/>
      <c r="BA12" s="151"/>
      <c r="BD12" s="217">
        <v>729.1</v>
      </c>
      <c r="BE12" s="110" t="s">
        <v>87</v>
      </c>
      <c r="BF12" s="172">
        <f>BD12</f>
        <v>729.1</v>
      </c>
      <c r="BG12" s="286"/>
    </row>
    <row r="13" spans="1:59" x14ac:dyDescent="0.2">
      <c r="A13" s="95"/>
      <c r="B13" s="96" t="s">
        <v>82</v>
      </c>
      <c r="C13" s="97"/>
      <c r="D13" s="116" t="s">
        <v>84</v>
      </c>
      <c r="E13" s="284">
        <v>379.4</v>
      </c>
      <c r="F13" s="110" t="s">
        <v>87</v>
      </c>
      <c r="G13" s="172">
        <f>E13</f>
        <v>379.4</v>
      </c>
      <c r="H13" s="286"/>
      <c r="L13" s="217">
        <v>363.6</v>
      </c>
      <c r="M13" s="110" t="s">
        <v>87</v>
      </c>
      <c r="N13" s="172">
        <f>L13</f>
        <v>363.6</v>
      </c>
      <c r="O13" s="286"/>
      <c r="S13" s="217">
        <v>226.2</v>
      </c>
      <c r="T13" s="110" t="s">
        <v>87</v>
      </c>
      <c r="U13" s="172">
        <f>S13</f>
        <v>226.2</v>
      </c>
      <c r="V13" s="286"/>
      <c r="Z13" s="217">
        <v>308.5</v>
      </c>
      <c r="AA13" s="110" t="s">
        <v>87</v>
      </c>
      <c r="AB13" s="172">
        <f>Z13</f>
        <v>308.5</v>
      </c>
      <c r="AC13" s="286"/>
      <c r="AG13" s="217">
        <v>745.7</v>
      </c>
      <c r="AH13" s="110" t="s">
        <v>87</v>
      </c>
      <c r="AI13" s="172">
        <f>AG13</f>
        <v>745.7</v>
      </c>
      <c r="AJ13" s="286"/>
      <c r="AN13" s="217">
        <v>836.2</v>
      </c>
      <c r="AO13" s="110" t="s">
        <v>87</v>
      </c>
      <c r="AP13" s="172">
        <f>AN13</f>
        <v>836.2</v>
      </c>
      <c r="AQ13" s="286"/>
      <c r="AU13" s="217">
        <v>855.4</v>
      </c>
      <c r="AV13" s="110" t="s">
        <v>87</v>
      </c>
      <c r="AW13" s="172">
        <f>AU13</f>
        <v>855.4</v>
      </c>
      <c r="AX13" s="286"/>
      <c r="AY13" s="149"/>
      <c r="AZ13" s="149"/>
      <c r="BA13" s="151"/>
      <c r="BD13" s="217">
        <v>241.6</v>
      </c>
      <c r="BE13" s="110" t="s">
        <v>87</v>
      </c>
      <c r="BF13" s="172">
        <f>BD13</f>
        <v>241.6</v>
      </c>
      <c r="BG13" s="286"/>
    </row>
    <row r="14" spans="1:59" hidden="1" x14ac:dyDescent="0.2">
      <c r="A14" s="95"/>
      <c r="B14" s="96" t="s">
        <v>83</v>
      </c>
      <c r="C14" s="97"/>
      <c r="D14" s="116" t="s">
        <v>84</v>
      </c>
      <c r="E14" s="284">
        <v>0</v>
      </c>
      <c r="F14" s="110" t="s">
        <v>87</v>
      </c>
      <c r="G14" s="172">
        <f>E14</f>
        <v>0</v>
      </c>
      <c r="H14" s="286"/>
      <c r="L14" s="217">
        <v>0</v>
      </c>
      <c r="M14" s="110" t="s">
        <v>87</v>
      </c>
      <c r="N14" s="172">
        <f>L14</f>
        <v>0</v>
      </c>
      <c r="O14" s="286"/>
      <c r="S14" s="217">
        <v>0</v>
      </c>
      <c r="T14" s="110" t="s">
        <v>87</v>
      </c>
      <c r="U14" s="172">
        <f>S14</f>
        <v>0</v>
      </c>
      <c r="V14" s="286"/>
      <c r="Z14" s="217">
        <v>0</v>
      </c>
      <c r="AA14" s="110" t="s">
        <v>87</v>
      </c>
      <c r="AB14" s="172" t="e">
        <f>Z14*AA14</f>
        <v>#VALUE!</v>
      </c>
      <c r="AC14" s="286"/>
      <c r="AG14" s="217">
        <v>0</v>
      </c>
      <c r="AH14" s="171">
        <v>1</v>
      </c>
      <c r="AI14" s="172">
        <f>AG14*AH14</f>
        <v>0</v>
      </c>
      <c r="AJ14" s="286"/>
      <c r="AN14" s="217">
        <v>0</v>
      </c>
      <c r="AO14" s="171">
        <v>1</v>
      </c>
      <c r="AP14" s="172">
        <f>AN14*AO14</f>
        <v>0</v>
      </c>
      <c r="AQ14" s="286"/>
      <c r="AU14" s="217">
        <v>0</v>
      </c>
      <c r="AV14" s="171">
        <v>1</v>
      </c>
      <c r="AW14" s="172">
        <f t="shared" ref="AW14:AW21" si="0">AU14*AV14</f>
        <v>0</v>
      </c>
      <c r="AX14" s="286"/>
      <c r="AY14" s="149"/>
      <c r="AZ14" s="149"/>
      <c r="BA14" s="151"/>
      <c r="BD14" s="217">
        <v>0</v>
      </c>
      <c r="BE14" s="110" t="s">
        <v>87</v>
      </c>
      <c r="BF14" s="172">
        <f>BD14</f>
        <v>0</v>
      </c>
      <c r="BG14" s="286"/>
    </row>
    <row r="15" spans="1:59" x14ac:dyDescent="0.2">
      <c r="A15" s="96" t="s">
        <v>85</v>
      </c>
      <c r="B15" s="96"/>
      <c r="C15" s="97"/>
      <c r="D15" s="116" t="s">
        <v>84</v>
      </c>
      <c r="E15" s="284">
        <f>SUM(E16:E21)</f>
        <v>223.70000000000002</v>
      </c>
      <c r="F15" s="110" t="s">
        <v>87</v>
      </c>
      <c r="G15" s="172">
        <f>SUM(G16:G21)</f>
        <v>223.70000000000002</v>
      </c>
      <c r="H15" s="286"/>
      <c r="L15" s="217">
        <f>SUM(L16:L21)</f>
        <v>132</v>
      </c>
      <c r="M15" s="110" t="s">
        <v>87</v>
      </c>
      <c r="N15" s="172">
        <f>SUM(N16:N21)</f>
        <v>132</v>
      </c>
      <c r="O15" s="286"/>
      <c r="S15" s="217">
        <f>SUM(S16:S21)</f>
        <v>113</v>
      </c>
      <c r="T15" s="110" t="s">
        <v>87</v>
      </c>
      <c r="U15" s="172">
        <f>SUM(U16:U21)</f>
        <v>113</v>
      </c>
      <c r="V15" s="286"/>
      <c r="Z15" s="217">
        <f>SUM(Z16:Z21)</f>
        <v>46.800000000000004</v>
      </c>
      <c r="AA15" s="110" t="s">
        <v>87</v>
      </c>
      <c r="AB15" s="172">
        <f>SUM(AB16:AB21)</f>
        <v>46.800000000000004</v>
      </c>
      <c r="AC15" s="286"/>
      <c r="AG15" s="217">
        <f>SUM(AG16:AG21)</f>
        <v>119</v>
      </c>
      <c r="AH15" s="110" t="s">
        <v>87</v>
      </c>
      <c r="AI15" s="172">
        <f>SUM(AI16:AI21)</f>
        <v>119</v>
      </c>
      <c r="AJ15" s="286"/>
      <c r="AN15" s="217">
        <f>SUM(AN16:AN21)</f>
        <v>57</v>
      </c>
      <c r="AO15" s="110" t="s">
        <v>87</v>
      </c>
      <c r="AP15" s="172">
        <f>SUM(AP16:AP21)</f>
        <v>57</v>
      </c>
      <c r="AQ15" s="286"/>
      <c r="AU15" s="217">
        <f>SUM(AU16:AU21)</f>
        <v>249.8</v>
      </c>
      <c r="AV15" s="110" t="s">
        <v>87</v>
      </c>
      <c r="AW15" s="172">
        <f>SUM(AW16:AW21)</f>
        <v>249.8</v>
      </c>
      <c r="AX15" s="286"/>
      <c r="AY15" s="151"/>
      <c r="AZ15" s="149"/>
      <c r="BA15" s="151"/>
      <c r="BD15" s="217">
        <v>98.4</v>
      </c>
      <c r="BE15" s="110" t="s">
        <v>87</v>
      </c>
      <c r="BF15" s="172">
        <f>SUM(BF16:BF21)</f>
        <v>98.4</v>
      </c>
      <c r="BG15" s="286"/>
    </row>
    <row r="16" spans="1:59" x14ac:dyDescent="0.2">
      <c r="A16" s="96"/>
      <c r="B16" s="96" t="s">
        <v>144</v>
      </c>
      <c r="C16" s="97"/>
      <c r="D16" s="116" t="s">
        <v>84</v>
      </c>
      <c r="E16" s="284">
        <v>101.6</v>
      </c>
      <c r="F16" s="178">
        <v>1</v>
      </c>
      <c r="G16" s="172">
        <f t="shared" ref="G16:G21" si="1">E16*F16</f>
        <v>101.6</v>
      </c>
      <c r="H16" s="286"/>
      <c r="L16" s="217">
        <v>95.7</v>
      </c>
      <c r="M16" s="178">
        <v>1</v>
      </c>
      <c r="N16" s="172">
        <f>L16*M16</f>
        <v>95.7</v>
      </c>
      <c r="O16" s="286"/>
      <c r="S16" s="217" t="s">
        <v>87</v>
      </c>
      <c r="T16" s="110" t="s">
        <v>87</v>
      </c>
      <c r="U16" s="110" t="s">
        <v>87</v>
      </c>
      <c r="V16" s="286"/>
      <c r="Z16" s="217" t="s">
        <v>87</v>
      </c>
      <c r="AA16" s="110" t="s">
        <v>87</v>
      </c>
      <c r="AB16" s="110" t="s">
        <v>87</v>
      </c>
      <c r="AC16" s="286"/>
      <c r="AG16" s="217" t="s">
        <v>87</v>
      </c>
      <c r="AH16" s="110" t="s">
        <v>87</v>
      </c>
      <c r="AI16" s="110" t="s">
        <v>87</v>
      </c>
      <c r="AJ16" s="286"/>
      <c r="AN16" s="217" t="s">
        <v>87</v>
      </c>
      <c r="AO16" s="110" t="s">
        <v>87</v>
      </c>
      <c r="AP16" s="110" t="s">
        <v>87</v>
      </c>
      <c r="AQ16" s="286"/>
      <c r="AU16" s="217">
        <v>91.5</v>
      </c>
      <c r="AV16" s="171">
        <v>1</v>
      </c>
      <c r="AW16" s="172">
        <f t="shared" si="0"/>
        <v>91.5</v>
      </c>
      <c r="AX16" s="286"/>
      <c r="AY16" s="151"/>
      <c r="AZ16" s="149"/>
      <c r="BA16" s="151"/>
      <c r="BD16" s="217" t="s">
        <v>87</v>
      </c>
      <c r="BE16" s="110" t="s">
        <v>87</v>
      </c>
      <c r="BF16" s="110" t="s">
        <v>87</v>
      </c>
      <c r="BG16" s="286"/>
    </row>
    <row r="17" spans="1:59" x14ac:dyDescent="0.2">
      <c r="A17" s="96"/>
      <c r="B17" s="96" t="s">
        <v>145</v>
      </c>
      <c r="C17" s="97"/>
      <c r="D17" s="116" t="s">
        <v>84</v>
      </c>
      <c r="E17" s="284">
        <v>13</v>
      </c>
      <c r="F17" s="178">
        <v>1</v>
      </c>
      <c r="G17" s="172">
        <f t="shared" si="1"/>
        <v>13</v>
      </c>
      <c r="H17" s="286"/>
      <c r="L17" s="217">
        <v>11.6</v>
      </c>
      <c r="M17" s="178">
        <v>1</v>
      </c>
      <c r="N17" s="172">
        <f>L17*M17</f>
        <v>11.6</v>
      </c>
      <c r="O17" s="286"/>
      <c r="S17" s="217" t="s">
        <v>87</v>
      </c>
      <c r="T17" s="110" t="s">
        <v>87</v>
      </c>
      <c r="U17" s="110" t="s">
        <v>87</v>
      </c>
      <c r="V17" s="286"/>
      <c r="Z17" s="217" t="s">
        <v>87</v>
      </c>
      <c r="AA17" s="110" t="s">
        <v>87</v>
      </c>
      <c r="AB17" s="110" t="s">
        <v>87</v>
      </c>
      <c r="AC17" s="286"/>
      <c r="AG17" s="217" t="s">
        <v>87</v>
      </c>
      <c r="AH17" s="110" t="s">
        <v>87</v>
      </c>
      <c r="AI17" s="110" t="s">
        <v>87</v>
      </c>
      <c r="AJ17" s="286"/>
      <c r="AN17" s="217" t="s">
        <v>87</v>
      </c>
      <c r="AO17" s="110" t="s">
        <v>87</v>
      </c>
      <c r="AP17" s="110" t="s">
        <v>87</v>
      </c>
      <c r="AQ17" s="286"/>
      <c r="AU17" s="217" t="s">
        <v>87</v>
      </c>
      <c r="AV17" s="110" t="s">
        <v>87</v>
      </c>
      <c r="AW17" s="172" t="s">
        <v>87</v>
      </c>
      <c r="AX17" s="286"/>
      <c r="AY17" s="151"/>
      <c r="AZ17" s="149"/>
      <c r="BA17" s="151"/>
      <c r="BD17" s="217" t="s">
        <v>87</v>
      </c>
      <c r="BE17" s="110" t="s">
        <v>87</v>
      </c>
      <c r="BF17" s="110" t="s">
        <v>87</v>
      </c>
      <c r="BG17" s="286"/>
    </row>
    <row r="18" spans="1:59" x14ac:dyDescent="0.2">
      <c r="A18" s="96"/>
      <c r="B18" s="96" t="s">
        <v>134</v>
      </c>
      <c r="C18" s="97"/>
      <c r="D18" s="116" t="s">
        <v>84</v>
      </c>
      <c r="E18" s="284">
        <v>7.6</v>
      </c>
      <c r="F18" s="178">
        <v>1</v>
      </c>
      <c r="G18" s="172">
        <f t="shared" si="1"/>
        <v>7.6</v>
      </c>
      <c r="H18" s="286"/>
      <c r="L18" s="217">
        <v>10.5</v>
      </c>
      <c r="M18" s="178">
        <v>1</v>
      </c>
      <c r="N18" s="172">
        <f>L18*M18</f>
        <v>10.5</v>
      </c>
      <c r="O18" s="286"/>
      <c r="S18" s="217">
        <v>39.299999999999997</v>
      </c>
      <c r="T18" s="178">
        <v>1</v>
      </c>
      <c r="U18" s="172">
        <f>S18*T18</f>
        <v>39.299999999999997</v>
      </c>
      <c r="V18" s="286"/>
      <c r="Z18" s="217">
        <v>40.1</v>
      </c>
      <c r="AA18" s="178">
        <v>1</v>
      </c>
      <c r="AB18" s="172">
        <f>Z18*AA18</f>
        <v>40.1</v>
      </c>
      <c r="AC18" s="286"/>
      <c r="AG18" s="217">
        <v>29</v>
      </c>
      <c r="AH18" s="171">
        <v>1</v>
      </c>
      <c r="AI18" s="172">
        <f>AG18*AH18</f>
        <v>29</v>
      </c>
      <c r="AJ18" s="286"/>
      <c r="AN18" s="217">
        <v>29.1</v>
      </c>
      <c r="AO18" s="171">
        <v>1</v>
      </c>
      <c r="AP18" s="172">
        <f>AN18*AO18</f>
        <v>29.1</v>
      </c>
      <c r="AQ18" s="286"/>
      <c r="AU18" s="217">
        <v>28.2</v>
      </c>
      <c r="AV18" s="171">
        <v>1</v>
      </c>
      <c r="AW18" s="172">
        <f t="shared" si="0"/>
        <v>28.2</v>
      </c>
      <c r="AX18" s="286"/>
      <c r="AY18" s="151"/>
      <c r="AZ18" s="149"/>
      <c r="BA18" s="151"/>
      <c r="BD18" s="217">
        <v>39.4</v>
      </c>
      <c r="BE18" s="178">
        <v>1</v>
      </c>
      <c r="BF18" s="172">
        <f>BD18*BE18</f>
        <v>39.4</v>
      </c>
      <c r="BG18" s="286"/>
    </row>
    <row r="19" spans="1:59" x14ac:dyDescent="0.2">
      <c r="A19" s="96"/>
      <c r="B19" s="96" t="s">
        <v>146</v>
      </c>
      <c r="C19" s="97"/>
      <c r="D19" s="116" t="s">
        <v>84</v>
      </c>
      <c r="E19" s="284">
        <v>30.8</v>
      </c>
      <c r="F19" s="178">
        <v>1</v>
      </c>
      <c r="G19" s="172">
        <f t="shared" si="1"/>
        <v>30.8</v>
      </c>
      <c r="H19" s="286"/>
      <c r="L19" s="213">
        <v>0.3</v>
      </c>
      <c r="M19" s="178">
        <v>1</v>
      </c>
      <c r="N19" s="173">
        <f>L19*M19</f>
        <v>0.3</v>
      </c>
      <c r="O19" s="286"/>
      <c r="S19" s="217">
        <v>32.799999999999997</v>
      </c>
      <c r="T19" s="178">
        <v>1</v>
      </c>
      <c r="U19" s="172">
        <f>S19*T19</f>
        <v>32.799999999999997</v>
      </c>
      <c r="V19" s="286"/>
      <c r="Z19" s="217" t="s">
        <v>87</v>
      </c>
      <c r="AA19" s="110" t="s">
        <v>87</v>
      </c>
      <c r="AB19" s="110" t="s">
        <v>87</v>
      </c>
      <c r="AC19" s="286"/>
      <c r="AG19" s="217">
        <v>7.4</v>
      </c>
      <c r="AH19" s="171">
        <v>1</v>
      </c>
      <c r="AI19" s="172">
        <f>AG19*AH19</f>
        <v>7.4</v>
      </c>
      <c r="AJ19" s="286"/>
      <c r="AN19" s="217" t="s">
        <v>87</v>
      </c>
      <c r="AO19" s="110" t="s">
        <v>87</v>
      </c>
      <c r="AP19" s="110" t="s">
        <v>87</v>
      </c>
      <c r="AQ19" s="286"/>
      <c r="AU19" s="217" t="s">
        <v>87</v>
      </c>
      <c r="AV19" s="110" t="s">
        <v>87</v>
      </c>
      <c r="AW19" s="110" t="s">
        <v>87</v>
      </c>
      <c r="AX19" s="286"/>
      <c r="AY19" s="151"/>
      <c r="AZ19" s="149"/>
      <c r="BA19" s="151"/>
      <c r="BD19" s="217">
        <v>27.4</v>
      </c>
      <c r="BE19" s="178">
        <v>1</v>
      </c>
      <c r="BF19" s="172">
        <f>BD19*BE19</f>
        <v>27.4</v>
      </c>
      <c r="BG19" s="286"/>
    </row>
    <row r="20" spans="1:59" ht="15.75" x14ac:dyDescent="0.3">
      <c r="A20" s="96"/>
      <c r="B20" s="96" t="s">
        <v>190</v>
      </c>
      <c r="C20" s="97"/>
      <c r="D20" s="116" t="s">
        <v>84</v>
      </c>
      <c r="E20" s="284">
        <v>47.9</v>
      </c>
      <c r="F20" s="178">
        <v>1</v>
      </c>
      <c r="G20" s="172">
        <f t="shared" si="1"/>
        <v>47.9</v>
      </c>
      <c r="H20" s="286"/>
      <c r="L20" s="213" t="s">
        <v>87</v>
      </c>
      <c r="M20" s="110" t="s">
        <v>87</v>
      </c>
      <c r="N20" s="137" t="s">
        <v>87</v>
      </c>
      <c r="O20" s="286"/>
      <c r="S20" s="217">
        <v>27.7</v>
      </c>
      <c r="T20" s="178">
        <v>1</v>
      </c>
      <c r="U20" s="172">
        <f>S20*T20</f>
        <v>27.7</v>
      </c>
      <c r="V20" s="286"/>
      <c r="Z20" s="217">
        <v>0</v>
      </c>
      <c r="AA20" s="178">
        <v>1</v>
      </c>
      <c r="AB20" s="172">
        <f>Z20*AA20</f>
        <v>0</v>
      </c>
      <c r="AC20" s="286"/>
      <c r="AG20" s="217">
        <v>48.6</v>
      </c>
      <c r="AH20" s="171">
        <v>1</v>
      </c>
      <c r="AI20" s="172">
        <f>AG20*AH20</f>
        <v>48.6</v>
      </c>
      <c r="AJ20" s="286"/>
      <c r="AN20" s="217" t="s">
        <v>87</v>
      </c>
      <c r="AO20" s="110" t="s">
        <v>87</v>
      </c>
      <c r="AP20" s="110" t="s">
        <v>87</v>
      </c>
      <c r="AQ20" s="286"/>
      <c r="AU20" s="217">
        <v>91.4</v>
      </c>
      <c r="AV20" s="171">
        <v>1</v>
      </c>
      <c r="AW20" s="172">
        <f t="shared" si="0"/>
        <v>91.4</v>
      </c>
      <c r="AX20" s="286"/>
      <c r="AY20" s="151"/>
      <c r="AZ20" s="149"/>
      <c r="BA20" s="151"/>
      <c r="BD20" s="217">
        <v>23.2</v>
      </c>
      <c r="BE20" s="178">
        <v>1</v>
      </c>
      <c r="BF20" s="172">
        <f>BD20*BE20</f>
        <v>23.2</v>
      </c>
      <c r="BG20" s="286"/>
    </row>
    <row r="21" spans="1:59" x14ac:dyDescent="0.2">
      <c r="A21" s="96"/>
      <c r="B21" s="96" t="s">
        <v>147</v>
      </c>
      <c r="C21" s="97"/>
      <c r="D21" s="116" t="s">
        <v>84</v>
      </c>
      <c r="E21" s="284">
        <v>22.8</v>
      </c>
      <c r="F21" s="178">
        <v>1</v>
      </c>
      <c r="G21" s="172">
        <f t="shared" si="1"/>
        <v>22.8</v>
      </c>
      <c r="H21" s="286"/>
      <c r="L21" s="217">
        <v>13.9</v>
      </c>
      <c r="M21" s="178">
        <v>1</v>
      </c>
      <c r="N21" s="172">
        <f>L21*M21</f>
        <v>13.9</v>
      </c>
      <c r="O21" s="286"/>
      <c r="S21" s="217">
        <v>13.2</v>
      </c>
      <c r="T21" s="178">
        <v>1</v>
      </c>
      <c r="U21" s="172">
        <f>S21*T21</f>
        <v>13.2</v>
      </c>
      <c r="V21" s="286"/>
      <c r="Z21" s="217">
        <v>6.7</v>
      </c>
      <c r="AA21" s="178">
        <v>1</v>
      </c>
      <c r="AB21" s="172">
        <f>Z21*AA21</f>
        <v>6.7</v>
      </c>
      <c r="AC21" s="286"/>
      <c r="AG21" s="217">
        <v>34</v>
      </c>
      <c r="AH21" s="171">
        <v>1</v>
      </c>
      <c r="AI21" s="172">
        <f>AG21*AH21</f>
        <v>34</v>
      </c>
      <c r="AJ21" s="286"/>
      <c r="AN21" s="217">
        <v>27.9</v>
      </c>
      <c r="AO21" s="171">
        <v>1</v>
      </c>
      <c r="AP21" s="172">
        <f>AN21*AO21</f>
        <v>27.9</v>
      </c>
      <c r="AQ21" s="286"/>
      <c r="AU21" s="217">
        <v>38.700000000000003</v>
      </c>
      <c r="AV21" s="171">
        <v>1</v>
      </c>
      <c r="AW21" s="172">
        <f t="shared" si="0"/>
        <v>38.700000000000003</v>
      </c>
      <c r="AX21" s="286"/>
      <c r="AY21" s="151"/>
      <c r="AZ21" s="149"/>
      <c r="BA21" s="151"/>
      <c r="BD21" s="217">
        <v>8.4</v>
      </c>
      <c r="BE21" s="178">
        <v>1</v>
      </c>
      <c r="BF21" s="172">
        <f>BD21*BE21</f>
        <v>8.4</v>
      </c>
      <c r="BG21" s="286"/>
    </row>
    <row r="22" spans="1:59" x14ac:dyDescent="0.2">
      <c r="A22" s="96" t="s">
        <v>112</v>
      </c>
      <c r="B22" s="96"/>
      <c r="C22" s="97"/>
      <c r="D22" s="116" t="s">
        <v>84</v>
      </c>
      <c r="E22" s="217">
        <f>E11</f>
        <v>923.8</v>
      </c>
      <c r="F22" s="110" t="s">
        <v>87</v>
      </c>
      <c r="G22" s="172">
        <f>E22</f>
        <v>923.8</v>
      </c>
      <c r="H22" s="286"/>
      <c r="L22" s="217">
        <f>L11</f>
        <v>878.1</v>
      </c>
      <c r="M22" s="110" t="s">
        <v>87</v>
      </c>
      <c r="N22" s="172">
        <f>L22</f>
        <v>878.1</v>
      </c>
      <c r="O22" s="286"/>
      <c r="S22" s="217">
        <f>S11</f>
        <v>955.3</v>
      </c>
      <c r="T22" s="110" t="s">
        <v>87</v>
      </c>
      <c r="U22" s="172">
        <f>S22</f>
        <v>955.3</v>
      </c>
      <c r="V22" s="286"/>
      <c r="Z22" s="217">
        <f>Z11</f>
        <v>1037.5999999999999</v>
      </c>
      <c r="AA22" s="110" t="s">
        <v>87</v>
      </c>
      <c r="AB22" s="172">
        <f>Z22</f>
        <v>1037.5999999999999</v>
      </c>
      <c r="AC22" s="286"/>
      <c r="AG22" s="217">
        <f>AG11</f>
        <v>745.7</v>
      </c>
      <c r="AH22" s="110" t="s">
        <v>87</v>
      </c>
      <c r="AI22" s="172">
        <f>AG22</f>
        <v>745.7</v>
      </c>
      <c r="AJ22" s="286"/>
      <c r="AN22" s="217">
        <f>AN11</f>
        <v>836.2</v>
      </c>
      <c r="AO22" s="110" t="s">
        <v>87</v>
      </c>
      <c r="AP22" s="172">
        <f>AN22</f>
        <v>836.2</v>
      </c>
      <c r="AQ22" s="286"/>
      <c r="AU22" s="217">
        <f>AU11</f>
        <v>855.4</v>
      </c>
      <c r="AV22" s="110" t="s">
        <v>87</v>
      </c>
      <c r="AW22" s="172">
        <f>AU22</f>
        <v>855.4</v>
      </c>
      <c r="AX22" s="286"/>
      <c r="AY22" s="149"/>
      <c r="AZ22" s="149"/>
      <c r="BA22" s="151"/>
      <c r="BD22" s="217">
        <v>970.7</v>
      </c>
      <c r="BE22" s="110" t="s">
        <v>87</v>
      </c>
      <c r="BF22" s="172">
        <f>BD22</f>
        <v>970.7</v>
      </c>
      <c r="BG22" s="286"/>
    </row>
    <row r="23" spans="1:59" ht="13.5" thickBot="1" x14ac:dyDescent="0.25">
      <c r="A23" s="96" t="s">
        <v>86</v>
      </c>
      <c r="B23" s="96"/>
      <c r="C23" s="97"/>
      <c r="D23" s="116" t="s">
        <v>84</v>
      </c>
      <c r="E23" s="217">
        <f>E22-E15</f>
        <v>700.09999999999991</v>
      </c>
      <c r="F23" s="110" t="s">
        <v>87</v>
      </c>
      <c r="G23" s="172">
        <f>G22-G15</f>
        <v>700.09999999999991</v>
      </c>
      <c r="H23" s="287"/>
      <c r="L23" s="217">
        <f>L22-L15</f>
        <v>746.1</v>
      </c>
      <c r="M23" s="110" t="s">
        <v>87</v>
      </c>
      <c r="N23" s="172">
        <f>N22-N15</f>
        <v>746.1</v>
      </c>
      <c r="O23" s="287"/>
      <c r="S23" s="217">
        <f>S22-S15</f>
        <v>842.3</v>
      </c>
      <c r="T23" s="110" t="s">
        <v>87</v>
      </c>
      <c r="U23" s="172">
        <f>U22-U15</f>
        <v>842.3</v>
      </c>
      <c r="V23" s="287"/>
      <c r="Z23" s="217">
        <f>Z22-Z15</f>
        <v>990.8</v>
      </c>
      <c r="AA23" s="110" t="s">
        <v>87</v>
      </c>
      <c r="AB23" s="172">
        <f>AB22-AB15</f>
        <v>990.8</v>
      </c>
      <c r="AC23" s="287"/>
      <c r="AG23" s="217">
        <f>AG22-AG15</f>
        <v>626.70000000000005</v>
      </c>
      <c r="AH23" s="110" t="s">
        <v>87</v>
      </c>
      <c r="AI23" s="172">
        <f>AI22-AI15</f>
        <v>626.70000000000005</v>
      </c>
      <c r="AJ23" s="287"/>
      <c r="AN23" s="217">
        <f>AN22-AN15</f>
        <v>779.2</v>
      </c>
      <c r="AO23" s="110" t="s">
        <v>87</v>
      </c>
      <c r="AP23" s="172">
        <f>AP22-AP15</f>
        <v>779.2</v>
      </c>
      <c r="AQ23" s="287"/>
      <c r="AU23" s="217">
        <f>AU22-AU15</f>
        <v>605.59999999999991</v>
      </c>
      <c r="AV23" s="110" t="s">
        <v>87</v>
      </c>
      <c r="AW23" s="172">
        <f>AW22-AW15</f>
        <v>605.59999999999991</v>
      </c>
      <c r="AX23" s="287"/>
      <c r="AY23" s="151"/>
      <c r="AZ23" s="149"/>
      <c r="BA23" s="151"/>
      <c r="BD23" s="217">
        <f>BD22-BD15</f>
        <v>872.30000000000007</v>
      </c>
      <c r="BE23" s="110" t="s">
        <v>87</v>
      </c>
      <c r="BF23" s="172">
        <f>BF22-BF15</f>
        <v>872.30000000000007</v>
      </c>
      <c r="BG23" s="287"/>
    </row>
    <row r="24" spans="1:59" x14ac:dyDescent="0.2">
      <c r="A24" s="95"/>
      <c r="B24" s="96"/>
      <c r="C24" s="97"/>
      <c r="D24" s="116"/>
      <c r="E24" s="213"/>
      <c r="F24" s="110"/>
      <c r="G24" s="137"/>
      <c r="H24" s="141"/>
      <c r="L24" s="213"/>
      <c r="M24" s="110"/>
      <c r="N24" s="137"/>
      <c r="O24" s="141"/>
      <c r="S24" s="217"/>
      <c r="T24" s="110"/>
      <c r="U24" s="137"/>
      <c r="V24" s="141"/>
      <c r="Z24" s="203"/>
      <c r="AA24" s="110"/>
      <c r="AB24" s="137"/>
      <c r="AC24" s="141"/>
      <c r="AG24" s="217"/>
      <c r="AH24" s="110"/>
      <c r="AI24" s="137"/>
      <c r="AJ24" s="141"/>
      <c r="AN24" s="203"/>
      <c r="AO24" s="110"/>
      <c r="AP24" s="137"/>
      <c r="AQ24" s="141"/>
      <c r="AU24" s="217"/>
      <c r="AV24" s="110"/>
      <c r="AW24" s="137"/>
      <c r="AX24" s="141"/>
      <c r="AY24" s="149"/>
      <c r="AZ24" s="149"/>
      <c r="BA24" s="151"/>
      <c r="BD24" s="217"/>
      <c r="BE24" s="110"/>
      <c r="BF24" s="137"/>
      <c r="BG24" s="141"/>
    </row>
    <row r="25" spans="1:59" x14ac:dyDescent="0.2">
      <c r="A25" s="95" t="s">
        <v>79</v>
      </c>
      <c r="B25" s="96"/>
      <c r="C25" s="97"/>
      <c r="D25" s="116"/>
      <c r="E25" s="213"/>
      <c r="F25" s="110"/>
      <c r="G25" s="137"/>
      <c r="H25" s="141"/>
      <c r="L25" s="213"/>
      <c r="M25" s="110"/>
      <c r="N25" s="137"/>
      <c r="O25" s="141"/>
      <c r="S25" s="217"/>
      <c r="T25" s="110"/>
      <c r="U25" s="137"/>
      <c r="V25" s="141"/>
      <c r="Z25" s="203"/>
      <c r="AA25" s="110"/>
      <c r="AB25" s="137"/>
      <c r="AC25" s="141"/>
      <c r="AG25" s="217"/>
      <c r="AH25" s="110"/>
      <c r="AI25" s="172"/>
      <c r="AJ25" s="141"/>
      <c r="AN25" s="203"/>
      <c r="AO25" s="110"/>
      <c r="AP25" s="172"/>
      <c r="AQ25" s="141"/>
      <c r="AU25" s="217"/>
      <c r="AV25" s="110"/>
      <c r="AW25" s="172"/>
      <c r="AX25" s="141"/>
      <c r="AY25" s="149"/>
      <c r="AZ25" s="149"/>
      <c r="BA25" s="151"/>
      <c r="BD25" s="217"/>
      <c r="BE25" s="110"/>
      <c r="BF25" s="137"/>
      <c r="BG25" s="141"/>
    </row>
    <row r="26" spans="1:59" x14ac:dyDescent="0.2">
      <c r="A26" s="96"/>
      <c r="B26" s="96" t="s">
        <v>67</v>
      </c>
      <c r="C26" s="96" t="s">
        <v>68</v>
      </c>
      <c r="D26" s="116" t="s">
        <v>70</v>
      </c>
      <c r="E26" s="217">
        <f>6559/24</f>
        <v>273.29166666666669</v>
      </c>
      <c r="F26" s="110" t="s">
        <v>87</v>
      </c>
      <c r="G26" s="172">
        <f>E26</f>
        <v>273.29166666666669</v>
      </c>
      <c r="H26" s="141"/>
      <c r="L26" s="217">
        <f>5539/24</f>
        <v>230.79166666666666</v>
      </c>
      <c r="M26" s="110" t="s">
        <v>87</v>
      </c>
      <c r="N26" s="172">
        <f>L26</f>
        <v>230.79166666666666</v>
      </c>
      <c r="O26" s="141"/>
      <c r="S26" s="217" t="s">
        <v>87</v>
      </c>
      <c r="T26" s="110" t="s">
        <v>87</v>
      </c>
      <c r="U26" s="110" t="s">
        <v>87</v>
      </c>
      <c r="V26" s="141"/>
      <c r="Z26" s="217" t="s">
        <v>87</v>
      </c>
      <c r="AA26" s="110" t="s">
        <v>87</v>
      </c>
      <c r="AB26" s="110" t="s">
        <v>87</v>
      </c>
      <c r="AC26" s="141"/>
      <c r="AG26" s="217">
        <f>6163/24</f>
        <v>256.79166666666669</v>
      </c>
      <c r="AH26" s="110" t="s">
        <v>87</v>
      </c>
      <c r="AI26" s="172">
        <f>AG26</f>
        <v>256.79166666666669</v>
      </c>
      <c r="AJ26" s="141"/>
      <c r="AN26" s="217">
        <f>6163/24</f>
        <v>256.79166666666669</v>
      </c>
      <c r="AO26" s="110" t="s">
        <v>87</v>
      </c>
      <c r="AP26" s="172">
        <f>AN26</f>
        <v>256.79166666666669</v>
      </c>
      <c r="AQ26" s="141"/>
      <c r="AU26" s="217">
        <v>257</v>
      </c>
      <c r="AV26" s="110" t="s">
        <v>87</v>
      </c>
      <c r="AW26" s="172">
        <f>AU26</f>
        <v>257</v>
      </c>
      <c r="AX26" s="141"/>
      <c r="AY26" s="151"/>
      <c r="AZ26" s="149"/>
      <c r="BA26" s="151"/>
      <c r="BD26" s="217" t="s">
        <v>87</v>
      </c>
      <c r="BE26" s="110" t="s">
        <v>87</v>
      </c>
      <c r="BF26" s="110" t="s">
        <v>87</v>
      </c>
      <c r="BG26" s="141"/>
    </row>
    <row r="27" spans="1:59" x14ac:dyDescent="0.2">
      <c r="A27" s="96"/>
      <c r="B27" s="96"/>
      <c r="C27" s="96" t="s">
        <v>69</v>
      </c>
      <c r="D27" s="116" t="s">
        <v>70</v>
      </c>
      <c r="E27" s="217" t="s">
        <v>87</v>
      </c>
      <c r="F27" s="110" t="s">
        <v>87</v>
      </c>
      <c r="G27" s="172" t="str">
        <f>E27</f>
        <v>n/a</v>
      </c>
      <c r="H27" s="141"/>
      <c r="L27" s="217" t="s">
        <v>87</v>
      </c>
      <c r="M27" s="110" t="s">
        <v>87</v>
      </c>
      <c r="N27" s="137" t="s">
        <v>87</v>
      </c>
      <c r="O27" s="141"/>
      <c r="S27" s="217">
        <f>3070/24</f>
        <v>127.91666666666667</v>
      </c>
      <c r="T27" s="110" t="s">
        <v>87</v>
      </c>
      <c r="U27" s="172">
        <f>S27</f>
        <v>127.91666666666667</v>
      </c>
      <c r="V27" s="141"/>
      <c r="Z27" s="217">
        <f>3070/24</f>
        <v>127.91666666666667</v>
      </c>
      <c r="AA27" s="110" t="s">
        <v>87</v>
      </c>
      <c r="AB27" s="172">
        <f>Z27</f>
        <v>127.91666666666667</v>
      </c>
      <c r="AC27" s="141"/>
      <c r="AG27" s="217" t="s">
        <v>87</v>
      </c>
      <c r="AH27" s="110" t="s">
        <v>87</v>
      </c>
      <c r="AI27" s="110" t="s">
        <v>87</v>
      </c>
      <c r="AJ27" s="141"/>
      <c r="AN27" s="217" t="s">
        <v>87</v>
      </c>
      <c r="AO27" s="110" t="s">
        <v>87</v>
      </c>
      <c r="AP27" s="110" t="s">
        <v>87</v>
      </c>
      <c r="AQ27" s="141"/>
      <c r="AU27" s="217" t="s">
        <v>87</v>
      </c>
      <c r="AV27" s="110" t="s">
        <v>87</v>
      </c>
      <c r="AW27" s="110" t="s">
        <v>87</v>
      </c>
      <c r="AX27" s="141"/>
      <c r="AY27" s="149"/>
      <c r="AZ27" s="149"/>
      <c r="BA27" s="151"/>
      <c r="BD27" s="217">
        <f>3070/24</f>
        <v>127.91666666666667</v>
      </c>
      <c r="BE27" s="110" t="s">
        <v>87</v>
      </c>
      <c r="BF27" s="172">
        <f>BD27</f>
        <v>127.91666666666667</v>
      </c>
      <c r="BG27" s="141"/>
    </row>
    <row r="28" spans="1:59" x14ac:dyDescent="0.2">
      <c r="A28" s="96"/>
      <c r="B28" s="96" t="s">
        <v>113</v>
      </c>
      <c r="C28" s="97"/>
      <c r="D28" s="132" t="s">
        <v>70</v>
      </c>
      <c r="E28" s="217">
        <f>4709/24</f>
        <v>196.20833333333334</v>
      </c>
      <c r="F28" s="110" t="s">
        <v>87</v>
      </c>
      <c r="G28" s="172">
        <f>E28</f>
        <v>196.20833333333334</v>
      </c>
      <c r="H28" s="141"/>
      <c r="L28" s="217">
        <f>4243/24</f>
        <v>176.79166666666666</v>
      </c>
      <c r="M28" s="110" t="s">
        <v>87</v>
      </c>
      <c r="N28" s="172">
        <f>L28</f>
        <v>176.79166666666666</v>
      </c>
      <c r="O28" s="141"/>
      <c r="S28" s="217" t="s">
        <v>87</v>
      </c>
      <c r="T28" s="110" t="s">
        <v>87</v>
      </c>
      <c r="U28" s="110" t="s">
        <v>87</v>
      </c>
      <c r="V28" s="141"/>
      <c r="Z28" s="217" t="s">
        <v>87</v>
      </c>
      <c r="AA28" s="110" t="s">
        <v>87</v>
      </c>
      <c r="AB28" s="110" t="s">
        <v>87</v>
      </c>
      <c r="AC28" s="141"/>
      <c r="AG28" s="217" t="s">
        <v>87</v>
      </c>
      <c r="AH28" s="110" t="s">
        <v>87</v>
      </c>
      <c r="AI28" s="110" t="s">
        <v>87</v>
      </c>
      <c r="AJ28" s="141"/>
      <c r="AN28" s="217" t="s">
        <v>87</v>
      </c>
      <c r="AO28" s="110" t="s">
        <v>87</v>
      </c>
      <c r="AP28" s="110" t="s">
        <v>87</v>
      </c>
      <c r="AQ28" s="141"/>
      <c r="AU28" s="217">
        <v>569</v>
      </c>
      <c r="AV28" s="110" t="s">
        <v>87</v>
      </c>
      <c r="AW28" s="172">
        <f>AU28</f>
        <v>569</v>
      </c>
      <c r="AX28" s="141"/>
      <c r="AY28" s="149"/>
      <c r="AZ28" s="149"/>
      <c r="BA28" s="151"/>
      <c r="BD28" s="217" t="s">
        <v>87</v>
      </c>
      <c r="BE28" s="110" t="s">
        <v>87</v>
      </c>
      <c r="BF28" s="110" t="s">
        <v>87</v>
      </c>
      <c r="BG28" s="141"/>
    </row>
    <row r="29" spans="1:59" x14ac:dyDescent="0.2">
      <c r="A29" s="96"/>
      <c r="B29" s="96"/>
      <c r="C29" s="97"/>
      <c r="D29" s="117"/>
      <c r="E29" s="217"/>
      <c r="F29" s="110"/>
      <c r="G29" s="172"/>
      <c r="H29" s="141"/>
      <c r="L29" s="217"/>
      <c r="M29" s="110"/>
      <c r="N29" s="172"/>
      <c r="O29" s="141"/>
      <c r="S29" s="203"/>
      <c r="T29" s="110"/>
      <c r="U29" s="172"/>
      <c r="V29" s="141"/>
      <c r="Z29" s="203"/>
      <c r="AA29" s="110"/>
      <c r="AB29" s="172"/>
      <c r="AC29" s="141"/>
      <c r="AG29" s="203"/>
      <c r="AH29" s="110"/>
      <c r="AI29" s="172"/>
      <c r="AJ29" s="141"/>
      <c r="AN29" s="203"/>
      <c r="AO29" s="110"/>
      <c r="AP29" s="172"/>
      <c r="AQ29" s="141"/>
      <c r="AU29" s="203"/>
      <c r="AV29" s="110"/>
      <c r="AW29" s="172"/>
      <c r="AX29" s="141"/>
      <c r="AY29" s="149"/>
      <c r="AZ29" s="149"/>
      <c r="BA29" s="151"/>
      <c r="BD29" s="203"/>
      <c r="BE29" s="110"/>
      <c r="BF29" s="172"/>
      <c r="BG29" s="141"/>
    </row>
    <row r="30" spans="1:59" x14ac:dyDescent="0.2">
      <c r="A30" s="95" t="s">
        <v>114</v>
      </c>
      <c r="B30" s="96"/>
      <c r="C30" s="97"/>
      <c r="D30" s="117"/>
      <c r="E30" s="217"/>
      <c r="F30" s="110"/>
      <c r="G30" s="172"/>
      <c r="H30" s="141"/>
      <c r="L30" s="217"/>
      <c r="M30" s="110"/>
      <c r="N30" s="172"/>
      <c r="O30" s="141"/>
      <c r="S30" s="203"/>
      <c r="T30" s="110"/>
      <c r="U30" s="172"/>
      <c r="V30" s="141"/>
      <c r="Z30" s="203"/>
      <c r="AA30" s="110"/>
      <c r="AB30" s="172"/>
      <c r="AC30" s="141"/>
      <c r="AG30" s="203"/>
      <c r="AH30" s="110"/>
      <c r="AI30" s="172"/>
      <c r="AJ30" s="141"/>
      <c r="AN30" s="203"/>
      <c r="AO30" s="110"/>
      <c r="AP30" s="172"/>
      <c r="AQ30" s="141"/>
      <c r="AU30" s="203"/>
      <c r="AV30" s="110"/>
      <c r="AW30" s="172"/>
      <c r="AX30" s="141"/>
      <c r="AY30" s="149"/>
      <c r="AZ30" s="149"/>
      <c r="BA30" s="151"/>
      <c r="BD30" s="203"/>
      <c r="BE30" s="110"/>
      <c r="BF30" s="172"/>
      <c r="BG30" s="141"/>
    </row>
    <row r="31" spans="1:59" ht="15.75" x14ac:dyDescent="0.3">
      <c r="A31" s="95"/>
      <c r="B31" s="96" t="s">
        <v>191</v>
      </c>
      <c r="C31" s="97"/>
      <c r="D31" s="116" t="s">
        <v>70</v>
      </c>
      <c r="E31" s="217">
        <f>E32+E33</f>
        <v>647.20833333333337</v>
      </c>
      <c r="F31" s="110" t="s">
        <v>87</v>
      </c>
      <c r="G31" s="172">
        <f>E31</f>
        <v>647.20833333333337</v>
      </c>
      <c r="H31" s="141"/>
      <c r="L31" s="217">
        <f>L32+L33</f>
        <v>548</v>
      </c>
      <c r="M31" s="110" t="s">
        <v>87</v>
      </c>
      <c r="N31" s="172">
        <f>L31</f>
        <v>548</v>
      </c>
      <c r="O31" s="141"/>
      <c r="S31" s="213">
        <f>S32+S33</f>
        <v>346.83333333333331</v>
      </c>
      <c r="T31" s="110" t="s">
        <v>87</v>
      </c>
      <c r="U31" s="172">
        <f>S31</f>
        <v>346.83333333333331</v>
      </c>
      <c r="V31" s="141"/>
      <c r="Z31" s="217">
        <f>Z32+Z33</f>
        <v>347</v>
      </c>
      <c r="AA31" s="110" t="s">
        <v>87</v>
      </c>
      <c r="AB31" s="172">
        <f>Z31</f>
        <v>347</v>
      </c>
      <c r="AC31" s="141"/>
      <c r="AG31" s="217">
        <f>AG32+AG33</f>
        <v>608.16666666666663</v>
      </c>
      <c r="AH31" s="110" t="s">
        <v>87</v>
      </c>
      <c r="AI31" s="172">
        <f>AG31</f>
        <v>608.16666666666663</v>
      </c>
      <c r="AJ31" s="141"/>
      <c r="AN31" s="217">
        <f>AN32+AN33</f>
        <v>608</v>
      </c>
      <c r="AO31" s="110" t="s">
        <v>87</v>
      </c>
      <c r="AP31" s="172">
        <f>AN31</f>
        <v>608</v>
      </c>
      <c r="AQ31" s="141"/>
      <c r="AU31" s="217">
        <f>AU32+AU33</f>
        <v>607.90000000000009</v>
      </c>
      <c r="AV31" s="110" t="s">
        <v>87</v>
      </c>
      <c r="AW31" s="172">
        <f>AU31</f>
        <v>607.90000000000009</v>
      </c>
      <c r="AX31" s="141"/>
      <c r="AY31" s="151"/>
      <c r="AZ31" s="149"/>
      <c r="BA31" s="151"/>
      <c r="BD31" s="213">
        <f>BD32+BD33</f>
        <v>347.1</v>
      </c>
      <c r="BE31" s="110" t="s">
        <v>87</v>
      </c>
      <c r="BF31" s="172">
        <f>BD31</f>
        <v>347.1</v>
      </c>
      <c r="BG31" s="141"/>
    </row>
    <row r="32" spans="1:59" ht="15.75" x14ac:dyDescent="0.3">
      <c r="A32" s="95"/>
      <c r="B32" s="96" t="s">
        <v>192</v>
      </c>
      <c r="C32" s="97"/>
      <c r="D32" s="116" t="s">
        <v>70</v>
      </c>
      <c r="E32" s="284">
        <f>13976/24</f>
        <v>582.33333333333337</v>
      </c>
      <c r="F32" s="110" t="s">
        <v>87</v>
      </c>
      <c r="G32" s="172">
        <f>E32</f>
        <v>582.33333333333337</v>
      </c>
      <c r="H32" s="141"/>
      <c r="L32" s="217">
        <v>0</v>
      </c>
      <c r="M32" s="110" t="s">
        <v>87</v>
      </c>
      <c r="N32" s="172">
        <f>L32</f>
        <v>0</v>
      </c>
      <c r="O32" s="141"/>
      <c r="S32" s="213">
        <f>7508/24</f>
        <v>312.83333333333331</v>
      </c>
      <c r="T32" s="110" t="s">
        <v>87</v>
      </c>
      <c r="U32" s="172">
        <f>S32</f>
        <v>312.83333333333331</v>
      </c>
      <c r="V32" s="141"/>
      <c r="Z32" s="217">
        <v>0</v>
      </c>
      <c r="AA32" s="110" t="s">
        <v>87</v>
      </c>
      <c r="AB32" s="172">
        <f>Z32</f>
        <v>0</v>
      </c>
      <c r="AC32" s="141"/>
      <c r="AG32" s="217">
        <f>13132/24</f>
        <v>547.16666666666663</v>
      </c>
      <c r="AH32" s="110" t="s">
        <v>87</v>
      </c>
      <c r="AI32" s="172">
        <f>AG32</f>
        <v>547.16666666666663</v>
      </c>
      <c r="AJ32" s="141"/>
      <c r="AN32" s="217">
        <v>0</v>
      </c>
      <c r="AO32" s="110" t="s">
        <v>87</v>
      </c>
      <c r="AP32" s="172">
        <f>AN32</f>
        <v>0</v>
      </c>
      <c r="AQ32" s="141"/>
      <c r="AU32" s="217">
        <f>13183.6/24</f>
        <v>549.31666666666672</v>
      </c>
      <c r="AV32" s="110" t="s">
        <v>87</v>
      </c>
      <c r="AW32" s="172">
        <f>AU32</f>
        <v>549.31666666666672</v>
      </c>
      <c r="AX32" s="141"/>
      <c r="AY32" s="149"/>
      <c r="AZ32" s="149"/>
      <c r="BA32" s="151"/>
      <c r="BD32" s="213">
        <v>261.10000000000002</v>
      </c>
      <c r="BE32" s="110" t="s">
        <v>87</v>
      </c>
      <c r="BF32" s="172">
        <f>BD32</f>
        <v>261.10000000000002</v>
      </c>
      <c r="BG32" s="141"/>
    </row>
    <row r="33" spans="1:59" ht="15.75" x14ac:dyDescent="0.3">
      <c r="A33" s="95"/>
      <c r="B33" s="96" t="s">
        <v>193</v>
      </c>
      <c r="C33" s="97"/>
      <c r="D33" s="116" t="s">
        <v>70</v>
      </c>
      <c r="E33" s="284">
        <f>1557/24</f>
        <v>64.875</v>
      </c>
      <c r="F33" s="110" t="s">
        <v>87</v>
      </c>
      <c r="G33" s="173">
        <f>E33</f>
        <v>64.875</v>
      </c>
      <c r="H33" s="141"/>
      <c r="L33" s="217">
        <v>548</v>
      </c>
      <c r="M33" s="110" t="s">
        <v>87</v>
      </c>
      <c r="N33" s="172">
        <f>L33</f>
        <v>548</v>
      </c>
      <c r="O33" s="141"/>
      <c r="S33" s="213">
        <v>34</v>
      </c>
      <c r="T33" s="110" t="s">
        <v>87</v>
      </c>
      <c r="U33" s="172">
        <f>S33</f>
        <v>34</v>
      </c>
      <c r="V33" s="141"/>
      <c r="Z33" s="217">
        <v>347</v>
      </c>
      <c r="AA33" s="110" t="s">
        <v>87</v>
      </c>
      <c r="AB33" s="172">
        <f>Z33</f>
        <v>347</v>
      </c>
      <c r="AC33" s="141"/>
      <c r="AG33" s="217">
        <v>61</v>
      </c>
      <c r="AH33" s="110" t="s">
        <v>87</v>
      </c>
      <c r="AI33" s="172">
        <f>AG33</f>
        <v>61</v>
      </c>
      <c r="AJ33" s="141"/>
      <c r="AN33" s="217">
        <v>608</v>
      </c>
      <c r="AO33" s="110" t="s">
        <v>87</v>
      </c>
      <c r="AP33" s="172">
        <f>AN33</f>
        <v>608</v>
      </c>
      <c r="AQ33" s="141"/>
      <c r="AU33" s="217">
        <f>1406/24</f>
        <v>58.583333333333336</v>
      </c>
      <c r="AV33" s="110" t="s">
        <v>87</v>
      </c>
      <c r="AW33" s="172">
        <f>AU33</f>
        <v>58.583333333333336</v>
      </c>
      <c r="AX33" s="141"/>
      <c r="AY33" s="149"/>
      <c r="AZ33" s="149"/>
      <c r="BA33" s="151"/>
      <c r="BD33" s="213">
        <v>86</v>
      </c>
      <c r="BE33" s="110" t="s">
        <v>87</v>
      </c>
      <c r="BF33" s="172">
        <f>BD33</f>
        <v>86</v>
      </c>
      <c r="BG33" s="141"/>
    </row>
    <row r="34" spans="1:59" ht="15.75" x14ac:dyDescent="0.3">
      <c r="A34" s="95"/>
      <c r="B34" s="96" t="s">
        <v>194</v>
      </c>
      <c r="C34" s="97"/>
      <c r="D34" s="116" t="s">
        <v>89</v>
      </c>
      <c r="E34" s="284">
        <v>92.7</v>
      </c>
      <c r="F34" s="110" t="s">
        <v>87</v>
      </c>
      <c r="G34" s="172">
        <f>E34</f>
        <v>92.7</v>
      </c>
      <c r="H34" s="141"/>
      <c r="L34" s="217">
        <v>735</v>
      </c>
      <c r="M34" s="110" t="s">
        <v>87</v>
      </c>
      <c r="N34" s="172">
        <f>L34</f>
        <v>735</v>
      </c>
      <c r="O34" s="141"/>
      <c r="S34" s="217">
        <v>41</v>
      </c>
      <c r="T34" s="110" t="s">
        <v>87</v>
      </c>
      <c r="U34" s="172">
        <f>S34</f>
        <v>41</v>
      </c>
      <c r="V34" s="141"/>
      <c r="Z34" s="217">
        <v>350</v>
      </c>
      <c r="AA34" s="110" t="s">
        <v>87</v>
      </c>
      <c r="AB34" s="172">
        <f>Z34</f>
        <v>350</v>
      </c>
      <c r="AC34" s="141"/>
      <c r="AG34" s="217">
        <v>97</v>
      </c>
      <c r="AH34" s="110" t="s">
        <v>87</v>
      </c>
      <c r="AI34" s="172">
        <f>AG34</f>
        <v>97</v>
      </c>
      <c r="AJ34" s="141"/>
      <c r="AN34" s="217">
        <v>781</v>
      </c>
      <c r="AO34" s="110" t="s">
        <v>87</v>
      </c>
      <c r="AP34" s="172">
        <f>AN34</f>
        <v>781</v>
      </c>
      <c r="AQ34" s="141"/>
      <c r="AU34" s="217">
        <v>96.7</v>
      </c>
      <c r="AV34" s="110" t="s">
        <v>87</v>
      </c>
      <c r="AW34" s="172">
        <f>AU34</f>
        <v>96.7</v>
      </c>
      <c r="AX34" s="141"/>
      <c r="AY34" s="151"/>
      <c r="AZ34" s="149"/>
      <c r="BA34" s="151"/>
      <c r="BD34" s="217">
        <v>98.5</v>
      </c>
      <c r="BE34" s="110" t="s">
        <v>87</v>
      </c>
      <c r="BF34" s="172">
        <f>BD34</f>
        <v>98.5</v>
      </c>
      <c r="BG34" s="141"/>
    </row>
    <row r="35" spans="1:59" x14ac:dyDescent="0.2">
      <c r="A35" s="95"/>
      <c r="B35" s="96"/>
      <c r="C35" s="97"/>
      <c r="D35" s="117"/>
      <c r="E35" s="213"/>
      <c r="F35" s="110"/>
      <c r="G35" s="172"/>
      <c r="H35" s="141"/>
      <c r="L35" s="213"/>
      <c r="M35" s="110"/>
      <c r="N35" s="172"/>
      <c r="O35" s="141"/>
      <c r="S35" s="203"/>
      <c r="T35" s="110"/>
      <c r="U35" s="172"/>
      <c r="V35" s="141"/>
      <c r="Z35" s="203"/>
      <c r="AA35" s="110"/>
      <c r="AB35" s="172"/>
      <c r="AC35" s="141"/>
      <c r="AG35" s="203"/>
      <c r="AH35" s="110"/>
      <c r="AI35" s="172"/>
      <c r="AJ35" s="141"/>
      <c r="AN35" s="203"/>
      <c r="AO35" s="110"/>
      <c r="AP35" s="172"/>
      <c r="AQ35" s="141"/>
      <c r="AU35" s="203"/>
      <c r="AV35" s="110"/>
      <c r="AW35" s="172"/>
      <c r="AX35" s="141"/>
      <c r="AY35" s="149"/>
      <c r="AZ35" s="149"/>
      <c r="BA35" s="151"/>
      <c r="BD35" s="203"/>
      <c r="BE35" s="110"/>
      <c r="BF35" s="172"/>
      <c r="BG35" s="141"/>
    </row>
    <row r="36" spans="1:59" x14ac:dyDescent="0.2">
      <c r="A36" s="95" t="s">
        <v>200</v>
      </c>
      <c r="B36" s="96"/>
      <c r="C36" s="97"/>
      <c r="D36" s="117"/>
      <c r="E36" s="213"/>
      <c r="F36" s="110"/>
      <c r="G36" s="172"/>
      <c r="H36" s="141"/>
      <c r="L36" s="213"/>
      <c r="M36" s="110"/>
      <c r="N36" s="172"/>
      <c r="O36" s="141"/>
      <c r="S36" s="203"/>
      <c r="T36" s="110"/>
      <c r="U36" s="172"/>
      <c r="V36" s="141"/>
      <c r="Z36" s="203"/>
      <c r="AA36" s="110"/>
      <c r="AB36" s="172"/>
      <c r="AC36" s="141"/>
      <c r="AG36" s="203"/>
      <c r="AH36" s="110"/>
      <c r="AI36" s="172"/>
      <c r="AJ36" s="141"/>
      <c r="AN36" s="203"/>
      <c r="AO36" s="110"/>
      <c r="AP36" s="172"/>
      <c r="AQ36" s="141"/>
      <c r="AU36" s="203"/>
      <c r="AV36" s="110"/>
      <c r="AW36" s="172"/>
      <c r="AX36" s="141"/>
      <c r="AY36" s="149"/>
      <c r="AZ36" s="149"/>
      <c r="BA36" s="151"/>
      <c r="BD36" s="203"/>
      <c r="BE36" s="110"/>
      <c r="BF36" s="172"/>
      <c r="BG36" s="141"/>
    </row>
    <row r="37" spans="1:59" x14ac:dyDescent="0.2">
      <c r="A37" s="95"/>
      <c r="B37" s="96" t="s">
        <v>90</v>
      </c>
      <c r="C37" s="97"/>
      <c r="D37" s="116" t="s">
        <v>70</v>
      </c>
      <c r="E37" s="242">
        <v>2.2999999999999998</v>
      </c>
      <c r="F37" s="243" t="s">
        <v>87</v>
      </c>
      <c r="G37" s="244">
        <f>E37</f>
        <v>2.2999999999999998</v>
      </c>
      <c r="H37" s="141"/>
      <c r="L37" s="213">
        <v>1.95</v>
      </c>
      <c r="M37" s="110" t="s">
        <v>87</v>
      </c>
      <c r="N37" s="173">
        <f>L37</f>
        <v>1.95</v>
      </c>
      <c r="O37" s="141"/>
      <c r="S37" s="203" t="s">
        <v>87</v>
      </c>
      <c r="T37" s="110" t="s">
        <v>87</v>
      </c>
      <c r="U37" s="173" t="str">
        <f>S37</f>
        <v>n/a</v>
      </c>
      <c r="V37" s="141"/>
      <c r="Z37" s="203" t="s">
        <v>87</v>
      </c>
      <c r="AA37" s="110" t="s">
        <v>87</v>
      </c>
      <c r="AB37" s="173" t="str">
        <f>Z37</f>
        <v>n/a</v>
      </c>
      <c r="AC37" s="141"/>
      <c r="AG37" s="203" t="s">
        <v>87</v>
      </c>
      <c r="AH37" s="110" t="s">
        <v>87</v>
      </c>
      <c r="AI37" s="173" t="str">
        <f>AG37</f>
        <v>n/a</v>
      </c>
      <c r="AJ37" s="141"/>
      <c r="AN37" s="203" t="s">
        <v>87</v>
      </c>
      <c r="AO37" s="110" t="s">
        <v>87</v>
      </c>
      <c r="AP37" s="173" t="str">
        <f>AN37</f>
        <v>n/a</v>
      </c>
      <c r="AQ37" s="141"/>
      <c r="AU37" s="203" t="s">
        <v>87</v>
      </c>
      <c r="AV37" s="110" t="s">
        <v>87</v>
      </c>
      <c r="AW37" s="173" t="str">
        <f>AU37</f>
        <v>n/a</v>
      </c>
      <c r="AX37" s="141"/>
      <c r="AY37" s="149"/>
      <c r="AZ37" s="149"/>
      <c r="BA37" s="152"/>
      <c r="BD37" s="203" t="s">
        <v>87</v>
      </c>
      <c r="BE37" s="110" t="s">
        <v>87</v>
      </c>
      <c r="BF37" s="173" t="str">
        <f>BD37</f>
        <v>n/a</v>
      </c>
      <c r="BG37" s="141"/>
    </row>
    <row r="38" spans="1:59" x14ac:dyDescent="0.2">
      <c r="A38" s="95"/>
      <c r="B38" s="96" t="s">
        <v>201</v>
      </c>
      <c r="C38" s="97"/>
      <c r="D38" s="116" t="s">
        <v>70</v>
      </c>
      <c r="E38" s="242">
        <v>133.80000000000001</v>
      </c>
      <c r="F38" s="243" t="s">
        <v>87</v>
      </c>
      <c r="G38" s="244">
        <f>E38</f>
        <v>133.80000000000001</v>
      </c>
      <c r="H38" s="141"/>
      <c r="L38" s="213">
        <v>398.3</v>
      </c>
      <c r="M38" s="110" t="s">
        <v>87</v>
      </c>
      <c r="N38" s="172">
        <f>L38</f>
        <v>398.3</v>
      </c>
      <c r="O38" s="141"/>
      <c r="S38" s="203" t="s">
        <v>87</v>
      </c>
      <c r="T38" s="110" t="s">
        <v>87</v>
      </c>
      <c r="U38" s="172" t="s">
        <v>87</v>
      </c>
      <c r="V38" s="141"/>
      <c r="Z38" s="203" t="s">
        <v>87</v>
      </c>
      <c r="AA38" s="110" t="s">
        <v>87</v>
      </c>
      <c r="AB38" s="172" t="s">
        <v>87</v>
      </c>
      <c r="AC38" s="141"/>
      <c r="AG38" s="203" t="s">
        <v>87</v>
      </c>
      <c r="AH38" s="110" t="s">
        <v>87</v>
      </c>
      <c r="AI38" s="172" t="s">
        <v>87</v>
      </c>
      <c r="AJ38" s="141"/>
      <c r="AN38" s="203" t="s">
        <v>87</v>
      </c>
      <c r="AO38" s="110" t="s">
        <v>87</v>
      </c>
      <c r="AP38" s="172" t="s">
        <v>87</v>
      </c>
      <c r="AQ38" s="141"/>
      <c r="AU38" s="203" t="s">
        <v>87</v>
      </c>
      <c r="AV38" s="110" t="s">
        <v>87</v>
      </c>
      <c r="AW38" s="172" t="s">
        <v>87</v>
      </c>
      <c r="AX38" s="141"/>
      <c r="AY38" s="149"/>
      <c r="AZ38" s="149"/>
      <c r="BA38" s="151"/>
      <c r="BD38" s="203" t="s">
        <v>87</v>
      </c>
      <c r="BE38" s="110" t="s">
        <v>87</v>
      </c>
      <c r="BF38" s="172" t="s">
        <v>87</v>
      </c>
      <c r="BG38" s="141"/>
    </row>
    <row r="39" spans="1:59" x14ac:dyDescent="0.2">
      <c r="A39" s="96"/>
      <c r="B39" s="96"/>
      <c r="C39" s="96"/>
      <c r="D39" s="116"/>
      <c r="E39" s="214"/>
      <c r="F39" s="110"/>
      <c r="G39" s="172"/>
      <c r="H39" s="141"/>
      <c r="L39" s="214"/>
      <c r="M39" s="110"/>
      <c r="N39" s="172"/>
      <c r="O39" s="141"/>
      <c r="S39" s="205"/>
      <c r="T39" s="110"/>
      <c r="U39" s="172"/>
      <c r="V39" s="141"/>
      <c r="Z39" s="205"/>
      <c r="AA39" s="110"/>
      <c r="AB39" s="172"/>
      <c r="AC39" s="141"/>
      <c r="AG39" s="205"/>
      <c r="AH39" s="110"/>
      <c r="AI39" s="172"/>
      <c r="AJ39" s="141"/>
      <c r="AN39" s="205"/>
      <c r="AO39" s="110"/>
      <c r="AP39" s="172"/>
      <c r="AQ39" s="141"/>
      <c r="AU39" s="205"/>
      <c r="AV39" s="110"/>
      <c r="AW39" s="172"/>
      <c r="AX39" s="141"/>
      <c r="AY39" s="153"/>
      <c r="AZ39" s="149"/>
      <c r="BA39" s="151"/>
      <c r="BD39" s="205"/>
      <c r="BE39" s="110"/>
      <c r="BF39" s="172"/>
      <c r="BG39" s="141"/>
    </row>
    <row r="40" spans="1:59" x14ac:dyDescent="0.2">
      <c r="A40" s="95" t="s">
        <v>123</v>
      </c>
      <c r="B40" s="96"/>
      <c r="C40" s="97"/>
      <c r="D40" s="116" t="s">
        <v>70</v>
      </c>
      <c r="E40" s="242">
        <v>42</v>
      </c>
      <c r="F40" s="243" t="s">
        <v>87</v>
      </c>
      <c r="G40" s="244">
        <f>E40</f>
        <v>42</v>
      </c>
      <c r="H40" s="141"/>
      <c r="L40" s="213">
        <v>35.6</v>
      </c>
      <c r="M40" s="110" t="s">
        <v>87</v>
      </c>
      <c r="N40" s="173">
        <f>L40</f>
        <v>35.6</v>
      </c>
      <c r="O40" s="141"/>
      <c r="S40" s="203">
        <v>0</v>
      </c>
      <c r="T40" s="110" t="s">
        <v>87</v>
      </c>
      <c r="U40" s="172">
        <f>S40</f>
        <v>0</v>
      </c>
      <c r="V40" s="141"/>
      <c r="Z40" s="203">
        <v>0</v>
      </c>
      <c r="AA40" s="110" t="s">
        <v>87</v>
      </c>
      <c r="AB40" s="172">
        <f>Z40</f>
        <v>0</v>
      </c>
      <c r="AC40" s="141"/>
      <c r="AG40" s="213">
        <v>33</v>
      </c>
      <c r="AH40" s="110" t="s">
        <v>87</v>
      </c>
      <c r="AI40" s="173">
        <f>AG40</f>
        <v>33</v>
      </c>
      <c r="AJ40" s="141"/>
      <c r="AN40" s="213">
        <v>33</v>
      </c>
      <c r="AO40" s="110" t="s">
        <v>87</v>
      </c>
      <c r="AP40" s="173">
        <f>AN40</f>
        <v>33</v>
      </c>
      <c r="AQ40" s="141"/>
      <c r="AU40" s="213">
        <v>33</v>
      </c>
      <c r="AV40" s="110" t="s">
        <v>87</v>
      </c>
      <c r="AW40" s="173">
        <f>AU40</f>
        <v>33</v>
      </c>
      <c r="AX40" s="141"/>
      <c r="AY40" s="149"/>
      <c r="AZ40" s="149"/>
      <c r="BA40" s="151"/>
      <c r="BD40" s="203">
        <v>0</v>
      </c>
      <c r="BE40" s="110" t="s">
        <v>87</v>
      </c>
      <c r="BF40" s="172">
        <f>BD40</f>
        <v>0</v>
      </c>
      <c r="BG40" s="141"/>
    </row>
    <row r="41" spans="1:59" x14ac:dyDescent="0.2">
      <c r="E41" s="106"/>
      <c r="F41" s="111"/>
      <c r="G41" s="136"/>
      <c r="H41" s="141"/>
      <c r="L41" s="106"/>
      <c r="M41" s="111"/>
      <c r="N41" s="136"/>
      <c r="O41" s="141"/>
      <c r="S41" s="106"/>
      <c r="T41" s="111"/>
      <c r="U41" s="174"/>
      <c r="V41" s="141"/>
      <c r="Z41" s="106"/>
      <c r="AA41" s="111"/>
      <c r="AB41" s="174"/>
      <c r="AC41" s="141"/>
      <c r="AG41" s="106"/>
      <c r="AH41" s="111"/>
      <c r="AI41" s="174"/>
      <c r="AJ41" s="141"/>
      <c r="AN41" s="207"/>
      <c r="AO41" s="111"/>
      <c r="AP41" s="174"/>
      <c r="AQ41" s="141"/>
      <c r="AU41" s="106"/>
      <c r="AV41" s="111"/>
      <c r="AW41" s="174"/>
      <c r="AX41" s="141"/>
      <c r="AY41" s="102"/>
      <c r="AZ41" s="102"/>
      <c r="BA41" s="149"/>
      <c r="BD41" s="106"/>
      <c r="BE41" s="111"/>
      <c r="BF41" s="174"/>
      <c r="BG41" s="141"/>
    </row>
    <row r="42" spans="1:59" ht="15.75" x14ac:dyDescent="0.25">
      <c r="A42" s="76"/>
      <c r="E42" s="106"/>
      <c r="F42" s="111"/>
      <c r="G42" s="136"/>
      <c r="H42" s="141"/>
      <c r="L42" s="106"/>
      <c r="M42" s="111"/>
      <c r="N42" s="136"/>
      <c r="O42" s="141"/>
      <c r="S42" s="106"/>
      <c r="T42" s="111"/>
      <c r="U42" s="136"/>
      <c r="V42" s="141"/>
      <c r="Z42" s="106"/>
      <c r="AA42" s="111"/>
      <c r="AB42" s="136"/>
      <c r="AC42" s="141"/>
      <c r="AG42" s="106"/>
      <c r="AH42" s="111"/>
      <c r="AI42" s="174"/>
      <c r="AJ42" s="141"/>
      <c r="AN42" s="207"/>
      <c r="AO42" s="111"/>
      <c r="AP42" s="174"/>
      <c r="AQ42" s="141"/>
      <c r="AU42" s="106"/>
      <c r="AV42" s="111"/>
      <c r="AW42" s="174"/>
      <c r="AX42" s="141"/>
      <c r="AY42" s="102"/>
      <c r="AZ42" s="102"/>
      <c r="BA42" s="149"/>
      <c r="BD42" s="106"/>
      <c r="BE42" s="111"/>
      <c r="BF42" s="136"/>
      <c r="BG42" s="141"/>
    </row>
    <row r="43" spans="1:59" ht="15.75" x14ac:dyDescent="0.25">
      <c r="A43" s="100" t="s">
        <v>100</v>
      </c>
      <c r="B43" s="96"/>
      <c r="C43" s="97"/>
      <c r="D43" s="96"/>
      <c r="E43" s="106"/>
      <c r="F43" s="111"/>
      <c r="G43" s="136"/>
      <c r="H43" s="141"/>
      <c r="L43" s="106"/>
      <c r="M43" s="111"/>
      <c r="N43" s="136"/>
      <c r="O43" s="141"/>
      <c r="S43" s="106"/>
      <c r="T43" s="111"/>
      <c r="U43" s="136"/>
      <c r="V43" s="141"/>
      <c r="Z43" s="106"/>
      <c r="AA43" s="111"/>
      <c r="AB43" s="136"/>
      <c r="AC43" s="141"/>
      <c r="AG43" s="106"/>
      <c r="AH43" s="111"/>
      <c r="AI43" s="136"/>
      <c r="AJ43" s="141"/>
      <c r="AN43" s="207"/>
      <c r="AO43" s="111"/>
      <c r="AP43" s="174"/>
      <c r="AQ43" s="141"/>
      <c r="AU43" s="106"/>
      <c r="AV43" s="111"/>
      <c r="AW43" s="174"/>
      <c r="AX43" s="141"/>
      <c r="AY43" s="102"/>
      <c r="AZ43" s="102"/>
      <c r="BA43" s="149"/>
      <c r="BD43" s="106"/>
      <c r="BE43" s="111"/>
      <c r="BF43" s="136"/>
      <c r="BG43" s="141"/>
    </row>
    <row r="44" spans="1:59" ht="15.75" x14ac:dyDescent="0.25">
      <c r="A44" s="100"/>
      <c r="B44" s="96"/>
      <c r="C44" s="97"/>
      <c r="D44" s="96"/>
      <c r="E44" s="106"/>
      <c r="F44" s="111"/>
      <c r="G44" s="136"/>
      <c r="H44" s="141"/>
      <c r="L44" s="106"/>
      <c r="M44" s="111"/>
      <c r="N44" s="136"/>
      <c r="O44" s="141"/>
      <c r="S44" s="106"/>
      <c r="T44" s="111"/>
      <c r="U44" s="136"/>
      <c r="V44" s="141"/>
      <c r="Z44" s="106"/>
      <c r="AA44" s="111"/>
      <c r="AB44" s="136"/>
      <c r="AC44" s="141"/>
      <c r="AG44" s="106"/>
      <c r="AH44" s="111"/>
      <c r="AI44" s="136"/>
      <c r="AJ44" s="141"/>
      <c r="AN44" s="207"/>
      <c r="AO44" s="111"/>
      <c r="AP44" s="174"/>
      <c r="AQ44" s="141"/>
      <c r="AU44" s="106"/>
      <c r="AV44" s="111"/>
      <c r="AW44" s="174"/>
      <c r="AX44" s="141"/>
      <c r="AY44" s="102"/>
      <c r="AZ44" s="102"/>
      <c r="BA44" s="149"/>
      <c r="BD44" s="106"/>
      <c r="BE44" s="111"/>
      <c r="BF44" s="136"/>
      <c r="BG44" s="141"/>
    </row>
    <row r="45" spans="1:59" ht="15.75" x14ac:dyDescent="0.25">
      <c r="A45" s="100" t="s">
        <v>99</v>
      </c>
      <c r="B45" s="96"/>
      <c r="C45" s="97"/>
      <c r="D45" s="96"/>
      <c r="E45" s="104"/>
      <c r="F45" s="109"/>
      <c r="G45" s="136"/>
      <c r="H45" s="141"/>
      <c r="L45" s="104"/>
      <c r="M45" s="109"/>
      <c r="N45" s="136"/>
      <c r="O45" s="141"/>
      <c r="S45" s="104"/>
      <c r="T45" s="109"/>
      <c r="U45" s="136"/>
      <c r="V45" s="141"/>
      <c r="Z45" s="104"/>
      <c r="AA45" s="109"/>
      <c r="AB45" s="136"/>
      <c r="AC45" s="141"/>
      <c r="AG45" s="104"/>
      <c r="AH45" s="109"/>
      <c r="AI45" s="136"/>
      <c r="AJ45" s="141"/>
      <c r="AN45" s="208"/>
      <c r="AO45" s="109"/>
      <c r="AP45" s="174"/>
      <c r="AQ45" s="141"/>
      <c r="AU45" s="104"/>
      <c r="AV45" s="109"/>
      <c r="AW45" s="174"/>
      <c r="AX45" s="141"/>
      <c r="AY45" s="148"/>
      <c r="AZ45" s="148"/>
      <c r="BA45" s="149"/>
      <c r="BD45" s="104"/>
      <c r="BE45" s="109"/>
      <c r="BF45" s="136"/>
      <c r="BG45" s="141"/>
    </row>
    <row r="46" spans="1:59" x14ac:dyDescent="0.2">
      <c r="A46" s="96"/>
      <c r="B46" s="96"/>
      <c r="C46" s="97"/>
      <c r="D46" s="96"/>
      <c r="E46" s="104"/>
      <c r="F46" s="109"/>
      <c r="G46" s="136"/>
      <c r="H46" s="141"/>
      <c r="L46" s="104"/>
      <c r="M46" s="109"/>
      <c r="N46" s="136"/>
      <c r="O46" s="141"/>
      <c r="S46" s="104"/>
      <c r="T46" s="109"/>
      <c r="U46" s="136"/>
      <c r="V46" s="141"/>
      <c r="Z46" s="104"/>
      <c r="AA46" s="109"/>
      <c r="AB46" s="136"/>
      <c r="AC46" s="141"/>
      <c r="AG46" s="104"/>
      <c r="AH46" s="109"/>
      <c r="AI46" s="136"/>
      <c r="AJ46" s="141"/>
      <c r="AN46" s="208"/>
      <c r="AO46" s="109"/>
      <c r="AP46" s="174"/>
      <c r="AQ46" s="141"/>
      <c r="AU46" s="104"/>
      <c r="AV46" s="109"/>
      <c r="AW46" s="174"/>
      <c r="AX46" s="141"/>
      <c r="AY46" s="148"/>
      <c r="AZ46" s="148"/>
      <c r="BA46" s="149"/>
      <c r="BD46" s="104"/>
      <c r="BE46" s="109"/>
      <c r="BF46" s="136"/>
      <c r="BG46" s="141"/>
    </row>
    <row r="47" spans="1:59" ht="13.5" thickBot="1" x14ac:dyDescent="0.25">
      <c r="A47" s="95" t="s">
        <v>71</v>
      </c>
      <c r="B47" s="96"/>
      <c r="C47" s="97"/>
      <c r="D47" s="96"/>
      <c r="E47" s="104"/>
      <c r="F47" s="109"/>
      <c r="G47" s="220">
        <f>IF(PRODUCT(F48:F57)=1,0,1)</f>
        <v>0</v>
      </c>
      <c r="H47" s="141"/>
      <c r="L47" s="104"/>
      <c r="M47" s="109"/>
      <c r="N47" s="220">
        <f>IF(PRODUCT(M48:M57)=1,0,1)</f>
        <v>0</v>
      </c>
      <c r="O47" s="141"/>
      <c r="S47" s="104"/>
      <c r="T47" s="109"/>
      <c r="U47" s="220">
        <f>IF(PRODUCT(T48:T57)=1,0,1)</f>
        <v>0</v>
      </c>
      <c r="V47" s="141"/>
      <c r="Z47" s="104"/>
      <c r="AA47" s="109"/>
      <c r="AB47" s="220">
        <f>IF(PRODUCT(AA48:AA57)=1,0,1)</f>
        <v>0</v>
      </c>
      <c r="AC47" s="141"/>
      <c r="AG47" s="104"/>
      <c r="AH47" s="109"/>
      <c r="AI47" s="220">
        <f>IF(PRODUCT(AH48:AH57)=1,0,1)</f>
        <v>0</v>
      </c>
      <c r="AJ47" s="141"/>
      <c r="AN47" s="208"/>
      <c r="AO47" s="109"/>
      <c r="AP47" s="220">
        <f>IF(PRODUCT(AO48:AO57)=1,0,1)</f>
        <v>0</v>
      </c>
      <c r="AQ47" s="141"/>
      <c r="AU47" s="104"/>
      <c r="AV47" s="109"/>
      <c r="AW47" s="220">
        <f>IF(PRODUCT(AV48:AV57)=1,0,1)</f>
        <v>0</v>
      </c>
      <c r="AX47" s="141"/>
      <c r="AY47" s="148"/>
      <c r="AZ47" s="148"/>
      <c r="BA47" s="149"/>
      <c r="BD47" s="104"/>
      <c r="BE47" s="109"/>
      <c r="BF47" s="220">
        <f>IF(PRODUCT(BE48:BE57)=1,0,1)</f>
        <v>0</v>
      </c>
      <c r="BG47" s="141"/>
    </row>
    <row r="48" spans="1:59" ht="12.75" customHeight="1" x14ac:dyDescent="0.2">
      <c r="A48" s="96"/>
      <c r="B48" s="96" t="s">
        <v>91</v>
      </c>
      <c r="C48" s="96" t="s">
        <v>125</v>
      </c>
      <c r="D48" s="116" t="s">
        <v>138</v>
      </c>
      <c r="E48" s="206">
        <v>0</v>
      </c>
      <c r="F48" s="112">
        <v>1</v>
      </c>
      <c r="G48" s="135">
        <f t="shared" ref="G48:G57" si="2">E48*F48</f>
        <v>0</v>
      </c>
      <c r="H48" s="285" t="str">
        <f>IF(G47=1,"Capital and Cost Data: User Adjusted","")</f>
        <v/>
      </c>
      <c r="L48" s="206">
        <v>0</v>
      </c>
      <c r="M48" s="112">
        <v>1</v>
      </c>
      <c r="N48" s="135">
        <f t="shared" ref="N48:N57" si="3">L48*M48</f>
        <v>0</v>
      </c>
      <c r="O48" s="285" t="str">
        <f>IF(N47=1,"Capital and Cost Data: User Adjusted","")</f>
        <v/>
      </c>
      <c r="S48" s="206">
        <v>0</v>
      </c>
      <c r="T48" s="112">
        <v>1</v>
      </c>
      <c r="U48" s="135">
        <f t="shared" ref="U48:U57" si="4">S48*T48</f>
        <v>0</v>
      </c>
      <c r="V48" s="285" t="str">
        <f>IF(U47=1,"Capital and Cost Data: User Adjusted","")</f>
        <v/>
      </c>
      <c r="Z48" s="206">
        <v>0</v>
      </c>
      <c r="AA48" s="112">
        <v>1</v>
      </c>
      <c r="AB48" s="135">
        <f t="shared" ref="AB48:AB57" si="5">Z48*AA48</f>
        <v>0</v>
      </c>
      <c r="AC48" s="285" t="str">
        <f>IF(AB47=1,"Capital and Cost Data: User Adjusted","")</f>
        <v/>
      </c>
      <c r="AG48" s="206">
        <v>0</v>
      </c>
      <c r="AH48" s="112">
        <v>1</v>
      </c>
      <c r="AI48" s="135">
        <f t="shared" ref="AI48:AI57" si="6">AG48*AH48</f>
        <v>0</v>
      </c>
      <c r="AJ48" s="285" t="str">
        <f>IF(AI47=1,"Capital and Cost Data: User Adjusted","")</f>
        <v/>
      </c>
      <c r="AN48" s="206">
        <v>0</v>
      </c>
      <c r="AO48" s="112">
        <v>1</v>
      </c>
      <c r="AP48" s="135">
        <f t="shared" ref="AP48:AP57" si="7">AN48*AO48</f>
        <v>0</v>
      </c>
      <c r="AQ48" s="285" t="str">
        <f>IF(AP47=1,"Capital and Cost Data: User Adjusted","")</f>
        <v/>
      </c>
      <c r="AU48" s="206">
        <v>0</v>
      </c>
      <c r="AV48" s="112">
        <v>1</v>
      </c>
      <c r="AW48" s="135">
        <f t="shared" ref="AW48:AW57" si="8">AU48*AV48</f>
        <v>0</v>
      </c>
      <c r="AX48" s="285" t="str">
        <f>IF(AW47=1,"Capital and Cost Data: User Adjusted","")</f>
        <v/>
      </c>
      <c r="AY48" s="154"/>
      <c r="AZ48" s="155"/>
      <c r="BA48" s="148"/>
      <c r="BD48" s="206">
        <v>0</v>
      </c>
      <c r="BE48" s="112">
        <v>1</v>
      </c>
      <c r="BF48" s="135">
        <f t="shared" ref="BF48:BF57" si="9">BD48*BE48</f>
        <v>0</v>
      </c>
      <c r="BG48" s="285" t="str">
        <f>IF(BF47=1,"Capital and Cost Data: User Adjusted","")</f>
        <v/>
      </c>
    </row>
    <row r="49" spans="1:59" x14ac:dyDescent="0.2">
      <c r="A49" s="96"/>
      <c r="B49" s="96" t="s">
        <v>92</v>
      </c>
      <c r="C49" s="96" t="s">
        <v>125</v>
      </c>
      <c r="D49" s="116" t="s">
        <v>138</v>
      </c>
      <c r="E49" s="206">
        <v>238.9</v>
      </c>
      <c r="F49" s="112">
        <v>1</v>
      </c>
      <c r="G49" s="135">
        <f t="shared" si="2"/>
        <v>238.9</v>
      </c>
      <c r="H49" s="286"/>
      <c r="L49" s="206">
        <v>214.5</v>
      </c>
      <c r="M49" s="112">
        <v>1</v>
      </c>
      <c r="N49" s="135">
        <f t="shared" si="3"/>
        <v>214.5</v>
      </c>
      <c r="O49" s="286"/>
      <c r="S49" s="206">
        <v>0</v>
      </c>
      <c r="T49" s="112">
        <v>1</v>
      </c>
      <c r="U49" s="135">
        <f t="shared" si="4"/>
        <v>0</v>
      </c>
      <c r="V49" s="286"/>
      <c r="Z49" s="206">
        <v>0</v>
      </c>
      <c r="AA49" s="112">
        <v>1</v>
      </c>
      <c r="AB49" s="135">
        <f t="shared" si="5"/>
        <v>0</v>
      </c>
      <c r="AC49" s="286"/>
      <c r="AG49" s="206">
        <v>556.70000000000005</v>
      </c>
      <c r="AH49" s="112">
        <v>1</v>
      </c>
      <c r="AI49" s="135">
        <f t="shared" si="6"/>
        <v>556.70000000000005</v>
      </c>
      <c r="AJ49" s="286"/>
      <c r="AN49" s="206">
        <v>550.5</v>
      </c>
      <c r="AO49" s="112">
        <v>1</v>
      </c>
      <c r="AP49" s="135">
        <f t="shared" si="7"/>
        <v>550.5</v>
      </c>
      <c r="AQ49" s="286"/>
      <c r="AU49" s="206">
        <v>556.70000000000005</v>
      </c>
      <c r="AV49" s="112">
        <v>1</v>
      </c>
      <c r="AW49" s="135">
        <f t="shared" si="8"/>
        <v>556.70000000000005</v>
      </c>
      <c r="AX49" s="286"/>
      <c r="AY49" s="154"/>
      <c r="AZ49" s="155"/>
      <c r="BA49" s="148"/>
      <c r="BD49" s="206">
        <v>0</v>
      </c>
      <c r="BE49" s="112">
        <v>1</v>
      </c>
      <c r="BF49" s="135">
        <f t="shared" si="9"/>
        <v>0</v>
      </c>
      <c r="BG49" s="286"/>
    </row>
    <row r="50" spans="1:59" x14ac:dyDescent="0.2">
      <c r="A50" s="96"/>
      <c r="B50" s="96" t="s">
        <v>93</v>
      </c>
      <c r="C50" s="96" t="s">
        <v>125</v>
      </c>
      <c r="D50" s="116" t="s">
        <v>138</v>
      </c>
      <c r="E50" s="206">
        <v>104.1</v>
      </c>
      <c r="F50" s="112">
        <v>1</v>
      </c>
      <c r="G50" s="135">
        <f t="shared" si="2"/>
        <v>104.1</v>
      </c>
      <c r="H50" s="286"/>
      <c r="L50" s="206">
        <v>92.8</v>
      </c>
      <c r="M50" s="112">
        <v>1</v>
      </c>
      <c r="N50" s="135">
        <f t="shared" si="3"/>
        <v>92.8</v>
      </c>
      <c r="O50" s="286"/>
      <c r="S50" s="206">
        <v>0</v>
      </c>
      <c r="T50" s="112">
        <v>1</v>
      </c>
      <c r="U50" s="135">
        <f t="shared" si="4"/>
        <v>0</v>
      </c>
      <c r="V50" s="286"/>
      <c r="Z50" s="206">
        <v>0</v>
      </c>
      <c r="AA50" s="112">
        <v>1</v>
      </c>
      <c r="AB50" s="135">
        <f t="shared" si="5"/>
        <v>0</v>
      </c>
      <c r="AC50" s="286"/>
      <c r="AG50" s="206">
        <v>0</v>
      </c>
      <c r="AH50" s="112">
        <v>1</v>
      </c>
      <c r="AI50" s="135">
        <f t="shared" si="6"/>
        <v>0</v>
      </c>
      <c r="AJ50" s="286"/>
      <c r="AN50" s="206">
        <v>0</v>
      </c>
      <c r="AO50" s="112">
        <v>1</v>
      </c>
      <c r="AP50" s="135">
        <f t="shared" si="7"/>
        <v>0</v>
      </c>
      <c r="AQ50" s="286"/>
      <c r="AU50" s="206">
        <v>241.7</v>
      </c>
      <c r="AV50" s="112">
        <v>1</v>
      </c>
      <c r="AW50" s="135">
        <f t="shared" si="8"/>
        <v>241.7</v>
      </c>
      <c r="AX50" s="286"/>
      <c r="AY50" s="154"/>
      <c r="AZ50" s="155"/>
      <c r="BA50" s="148"/>
      <c r="BD50" s="206">
        <v>0</v>
      </c>
      <c r="BE50" s="112">
        <v>1</v>
      </c>
      <c r="BF50" s="135">
        <f t="shared" si="9"/>
        <v>0</v>
      </c>
      <c r="BG50" s="286"/>
    </row>
    <row r="51" spans="1:59" x14ac:dyDescent="0.2">
      <c r="A51" s="96"/>
      <c r="B51" s="96" t="s">
        <v>94</v>
      </c>
      <c r="C51" s="96" t="s">
        <v>125</v>
      </c>
      <c r="D51" s="116" t="s">
        <v>138</v>
      </c>
      <c r="E51" s="206">
        <v>121</v>
      </c>
      <c r="F51" s="112">
        <v>1</v>
      </c>
      <c r="G51" s="135">
        <f t="shared" si="2"/>
        <v>121</v>
      </c>
      <c r="H51" s="286"/>
      <c r="L51" s="206">
        <v>62.5</v>
      </c>
      <c r="M51" s="112">
        <v>1</v>
      </c>
      <c r="N51" s="135">
        <f t="shared" si="3"/>
        <v>62.5</v>
      </c>
      <c r="O51" s="286"/>
      <c r="S51" s="206">
        <v>240.9</v>
      </c>
      <c r="T51" s="112">
        <v>1</v>
      </c>
      <c r="U51" s="135">
        <f t="shared" si="4"/>
        <v>240.9</v>
      </c>
      <c r="V51" s="286"/>
      <c r="Z51" s="206">
        <v>0</v>
      </c>
      <c r="AA51" s="112">
        <v>1</v>
      </c>
      <c r="AB51" s="135">
        <f t="shared" si="5"/>
        <v>0</v>
      </c>
      <c r="AC51" s="286"/>
      <c r="AG51" s="206">
        <v>262.10000000000002</v>
      </c>
      <c r="AH51" s="112">
        <v>1</v>
      </c>
      <c r="AI51" s="135">
        <f t="shared" si="6"/>
        <v>262.10000000000002</v>
      </c>
      <c r="AJ51" s="286"/>
      <c r="AN51" s="206">
        <v>0</v>
      </c>
      <c r="AO51" s="112">
        <v>1</v>
      </c>
      <c r="AP51" s="135">
        <f t="shared" si="7"/>
        <v>0</v>
      </c>
      <c r="AQ51" s="286"/>
      <c r="AU51" s="206">
        <v>0</v>
      </c>
      <c r="AV51" s="112">
        <v>1</v>
      </c>
      <c r="AW51" s="135">
        <f t="shared" si="8"/>
        <v>0</v>
      </c>
      <c r="AX51" s="286"/>
      <c r="AY51" s="154"/>
      <c r="AZ51" s="155"/>
      <c r="BA51" s="148"/>
      <c r="BD51" s="206">
        <v>214</v>
      </c>
      <c r="BE51" s="112">
        <v>1</v>
      </c>
      <c r="BF51" s="135">
        <f t="shared" si="9"/>
        <v>214</v>
      </c>
      <c r="BG51" s="286"/>
    </row>
    <row r="52" spans="1:59" x14ac:dyDescent="0.2">
      <c r="A52" s="96"/>
      <c r="B52" s="96" t="s">
        <v>149</v>
      </c>
      <c r="C52" s="96" t="s">
        <v>125</v>
      </c>
      <c r="D52" s="116" t="s">
        <v>138</v>
      </c>
      <c r="E52" s="206">
        <v>61.7</v>
      </c>
      <c r="F52" s="112">
        <v>1</v>
      </c>
      <c r="G52" s="135">
        <f t="shared" si="2"/>
        <v>61.7</v>
      </c>
      <c r="H52" s="286"/>
      <c r="L52" s="206">
        <v>0</v>
      </c>
      <c r="M52" s="112">
        <v>1</v>
      </c>
      <c r="N52" s="135">
        <f t="shared" si="3"/>
        <v>0</v>
      </c>
      <c r="O52" s="286"/>
      <c r="S52" s="206">
        <v>69.5</v>
      </c>
      <c r="T52" s="112">
        <v>1</v>
      </c>
      <c r="U52" s="135">
        <f t="shared" si="4"/>
        <v>69.5</v>
      </c>
      <c r="V52" s="286"/>
      <c r="Z52" s="206">
        <v>0</v>
      </c>
      <c r="AA52" s="112">
        <v>1</v>
      </c>
      <c r="AB52" s="135">
        <f t="shared" si="5"/>
        <v>0</v>
      </c>
      <c r="AC52" s="286"/>
      <c r="AG52" s="206">
        <v>90.6</v>
      </c>
      <c r="AH52" s="112">
        <v>1</v>
      </c>
      <c r="AI52" s="135">
        <f t="shared" si="6"/>
        <v>90.6</v>
      </c>
      <c r="AJ52" s="286"/>
      <c r="AN52" s="206">
        <v>0</v>
      </c>
      <c r="AO52" s="112">
        <v>1</v>
      </c>
      <c r="AP52" s="135">
        <f t="shared" si="7"/>
        <v>0</v>
      </c>
      <c r="AQ52" s="286"/>
      <c r="AU52" s="206">
        <v>155.6</v>
      </c>
      <c r="AV52" s="112">
        <v>1</v>
      </c>
      <c r="AW52" s="135">
        <f t="shared" si="8"/>
        <v>155.6</v>
      </c>
      <c r="AX52" s="286"/>
      <c r="AY52" s="154"/>
      <c r="AZ52" s="155"/>
      <c r="BA52" s="148"/>
      <c r="BD52" s="206">
        <v>61.9</v>
      </c>
      <c r="BE52" s="112">
        <v>1</v>
      </c>
      <c r="BF52" s="135">
        <f t="shared" si="9"/>
        <v>61.9</v>
      </c>
      <c r="BG52" s="286"/>
    </row>
    <row r="53" spans="1:59" x14ac:dyDescent="0.2">
      <c r="A53" s="96"/>
      <c r="B53" s="96" t="s">
        <v>148</v>
      </c>
      <c r="C53" s="96" t="s">
        <v>125</v>
      </c>
      <c r="D53" s="116" t="s">
        <v>138</v>
      </c>
      <c r="E53" s="206">
        <v>0</v>
      </c>
      <c r="F53" s="112">
        <v>1</v>
      </c>
      <c r="G53" s="135">
        <f t="shared" si="2"/>
        <v>0</v>
      </c>
      <c r="H53" s="286"/>
      <c r="L53" s="206">
        <v>0</v>
      </c>
      <c r="M53" s="112">
        <v>1</v>
      </c>
      <c r="N53" s="135">
        <f t="shared" si="3"/>
        <v>0</v>
      </c>
      <c r="O53" s="286"/>
      <c r="S53" s="206">
        <v>0</v>
      </c>
      <c r="T53" s="112">
        <v>1</v>
      </c>
      <c r="U53" s="135">
        <f t="shared" si="4"/>
        <v>0</v>
      </c>
      <c r="V53" s="286"/>
      <c r="Z53" s="206">
        <v>0</v>
      </c>
      <c r="AA53" s="112">
        <v>1</v>
      </c>
      <c r="AB53" s="135">
        <f t="shared" si="5"/>
        <v>0</v>
      </c>
      <c r="AC53" s="286"/>
      <c r="AG53" s="206">
        <v>0</v>
      </c>
      <c r="AH53" s="112">
        <v>1</v>
      </c>
      <c r="AI53" s="135">
        <f t="shared" si="6"/>
        <v>0</v>
      </c>
      <c r="AJ53" s="286"/>
      <c r="AN53" s="206">
        <v>0</v>
      </c>
      <c r="AO53" s="112">
        <v>1</v>
      </c>
      <c r="AP53" s="135">
        <f t="shared" si="7"/>
        <v>0</v>
      </c>
      <c r="AQ53" s="286"/>
      <c r="AU53" s="206">
        <v>0</v>
      </c>
      <c r="AV53" s="112">
        <v>1</v>
      </c>
      <c r="AW53" s="135">
        <f t="shared" si="8"/>
        <v>0</v>
      </c>
      <c r="AX53" s="286"/>
      <c r="AY53" s="154"/>
      <c r="AZ53" s="155"/>
      <c r="BA53" s="148"/>
      <c r="BD53" s="206">
        <v>0</v>
      </c>
      <c r="BE53" s="112">
        <v>1</v>
      </c>
      <c r="BF53" s="135">
        <f t="shared" si="9"/>
        <v>0</v>
      </c>
      <c r="BG53" s="286"/>
    </row>
    <row r="54" spans="1:59" x14ac:dyDescent="0.2">
      <c r="A54" s="96"/>
      <c r="B54" s="96" t="s">
        <v>95</v>
      </c>
      <c r="C54" s="96" t="s">
        <v>125</v>
      </c>
      <c r="D54" s="116" t="s">
        <v>138</v>
      </c>
      <c r="E54" s="206">
        <v>33.1</v>
      </c>
      <c r="F54" s="112">
        <v>1</v>
      </c>
      <c r="G54" s="135">
        <f t="shared" si="2"/>
        <v>33.1</v>
      </c>
      <c r="H54" s="286"/>
      <c r="L54" s="206">
        <v>29.6</v>
      </c>
      <c r="M54" s="112">
        <v>1</v>
      </c>
      <c r="N54" s="135">
        <f t="shared" si="3"/>
        <v>29.6</v>
      </c>
      <c r="O54" s="286"/>
      <c r="S54" s="206">
        <v>0</v>
      </c>
      <c r="T54" s="112">
        <v>1</v>
      </c>
      <c r="U54" s="135">
        <f t="shared" si="4"/>
        <v>0</v>
      </c>
      <c r="V54" s="286"/>
      <c r="Z54" s="206">
        <v>0</v>
      </c>
      <c r="AA54" s="112">
        <v>1</v>
      </c>
      <c r="AB54" s="135">
        <f t="shared" si="5"/>
        <v>0</v>
      </c>
      <c r="AC54" s="286"/>
      <c r="AG54" s="206">
        <v>0</v>
      </c>
      <c r="AH54" s="112">
        <v>1</v>
      </c>
      <c r="AI54" s="135">
        <f t="shared" si="6"/>
        <v>0</v>
      </c>
      <c r="AJ54" s="286"/>
      <c r="AN54" s="206">
        <v>0</v>
      </c>
      <c r="AO54" s="112">
        <v>1</v>
      </c>
      <c r="AP54" s="135">
        <f t="shared" si="7"/>
        <v>0</v>
      </c>
      <c r="AQ54" s="286"/>
      <c r="AU54" s="206">
        <v>0</v>
      </c>
      <c r="AV54" s="112">
        <v>1</v>
      </c>
      <c r="AW54" s="135">
        <f t="shared" si="8"/>
        <v>0</v>
      </c>
      <c r="AX54" s="286"/>
      <c r="AY54" s="154"/>
      <c r="AZ54" s="155"/>
      <c r="BA54" s="148"/>
      <c r="BD54" s="206">
        <v>0</v>
      </c>
      <c r="BE54" s="112">
        <v>1</v>
      </c>
      <c r="BF54" s="135">
        <f t="shared" si="9"/>
        <v>0</v>
      </c>
      <c r="BG54" s="286"/>
    </row>
    <row r="55" spans="1:59" x14ac:dyDescent="0.2">
      <c r="A55" s="96"/>
      <c r="B55" s="96" t="s">
        <v>134</v>
      </c>
      <c r="C55" s="96" t="s">
        <v>125</v>
      </c>
      <c r="D55" s="116" t="s">
        <v>138</v>
      </c>
      <c r="E55" s="206">
        <v>341.1</v>
      </c>
      <c r="F55" s="112">
        <v>1</v>
      </c>
      <c r="G55" s="135">
        <f t="shared" si="2"/>
        <v>341.1</v>
      </c>
      <c r="H55" s="286"/>
      <c r="L55" s="206">
        <v>341.8</v>
      </c>
      <c r="M55" s="112">
        <v>1</v>
      </c>
      <c r="N55" s="135">
        <f t="shared" si="3"/>
        <v>341.8</v>
      </c>
      <c r="O55" s="286"/>
      <c r="S55" s="206">
        <v>319.7</v>
      </c>
      <c r="T55" s="112">
        <v>1</v>
      </c>
      <c r="U55" s="135">
        <f t="shared" si="4"/>
        <v>319.7</v>
      </c>
      <c r="V55" s="286"/>
      <c r="Z55" s="206">
        <v>302.5</v>
      </c>
      <c r="AA55" s="112">
        <v>1</v>
      </c>
      <c r="AB55" s="135">
        <f t="shared" si="5"/>
        <v>302.5</v>
      </c>
      <c r="AC55" s="286"/>
      <c r="AG55" s="206">
        <v>150.9</v>
      </c>
      <c r="AH55" s="112">
        <v>1</v>
      </c>
      <c r="AI55" s="135">
        <f t="shared" si="6"/>
        <v>150.9</v>
      </c>
      <c r="AJ55" s="286"/>
      <c r="AN55" s="206">
        <v>185.3</v>
      </c>
      <c r="AO55" s="112">
        <v>1</v>
      </c>
      <c r="AP55" s="135">
        <f t="shared" si="7"/>
        <v>185.3</v>
      </c>
      <c r="AQ55" s="286"/>
      <c r="AU55" s="206">
        <v>167.5</v>
      </c>
      <c r="AV55" s="112">
        <v>1</v>
      </c>
      <c r="AW55" s="135">
        <f t="shared" si="8"/>
        <v>167.5</v>
      </c>
      <c r="AX55" s="286"/>
      <c r="AY55" s="154"/>
      <c r="AZ55" s="155"/>
      <c r="BA55" s="148"/>
      <c r="BD55" s="206">
        <v>319.7</v>
      </c>
      <c r="BE55" s="112">
        <v>1</v>
      </c>
      <c r="BF55" s="135">
        <f t="shared" si="9"/>
        <v>319.7</v>
      </c>
      <c r="BG55" s="286"/>
    </row>
    <row r="56" spans="1:59" x14ac:dyDescent="0.2">
      <c r="A56" s="95"/>
      <c r="B56" s="96" t="s">
        <v>96</v>
      </c>
      <c r="C56" s="96" t="s">
        <v>125</v>
      </c>
      <c r="D56" s="116" t="s">
        <v>138</v>
      </c>
      <c r="E56" s="206">
        <v>66</v>
      </c>
      <c r="F56" s="112">
        <v>1</v>
      </c>
      <c r="G56" s="135">
        <f t="shared" si="2"/>
        <v>66</v>
      </c>
      <c r="H56" s="286"/>
      <c r="L56" s="206">
        <v>46.2</v>
      </c>
      <c r="M56" s="112">
        <v>1</v>
      </c>
      <c r="N56" s="135">
        <f t="shared" si="3"/>
        <v>46.2</v>
      </c>
      <c r="O56" s="286"/>
      <c r="S56" s="206">
        <v>0</v>
      </c>
      <c r="T56" s="112">
        <v>1</v>
      </c>
      <c r="U56" s="135">
        <f t="shared" si="4"/>
        <v>0</v>
      </c>
      <c r="V56" s="286"/>
      <c r="Z56" s="206">
        <v>0</v>
      </c>
      <c r="AA56" s="112">
        <v>1</v>
      </c>
      <c r="AB56" s="135">
        <f t="shared" si="5"/>
        <v>0</v>
      </c>
      <c r="AC56" s="286"/>
      <c r="AG56" s="206">
        <v>0</v>
      </c>
      <c r="AH56" s="112">
        <v>1</v>
      </c>
      <c r="AI56" s="135">
        <f t="shared" si="6"/>
        <v>0</v>
      </c>
      <c r="AJ56" s="286"/>
      <c r="AN56" s="206">
        <v>0</v>
      </c>
      <c r="AO56" s="112">
        <v>1</v>
      </c>
      <c r="AP56" s="135">
        <f t="shared" si="7"/>
        <v>0</v>
      </c>
      <c r="AQ56" s="286"/>
      <c r="AU56" s="206">
        <v>0</v>
      </c>
      <c r="AV56" s="112">
        <v>1</v>
      </c>
      <c r="AW56" s="135">
        <f t="shared" si="8"/>
        <v>0</v>
      </c>
      <c r="AX56" s="286"/>
      <c r="AY56" s="154"/>
      <c r="AZ56" s="155"/>
      <c r="BA56" s="148"/>
      <c r="BD56" s="206">
        <v>0</v>
      </c>
      <c r="BE56" s="112">
        <v>1</v>
      </c>
      <c r="BF56" s="135">
        <f t="shared" si="9"/>
        <v>0</v>
      </c>
      <c r="BG56" s="286"/>
    </row>
    <row r="57" spans="1:59" ht="13.5" thickBot="1" x14ac:dyDescent="0.25">
      <c r="A57" s="95"/>
      <c r="B57" s="96" t="s">
        <v>142</v>
      </c>
      <c r="C57" s="96" t="s">
        <v>125</v>
      </c>
      <c r="D57" s="116" t="s">
        <v>138</v>
      </c>
      <c r="E57" s="206">
        <v>145.6</v>
      </c>
      <c r="F57" s="112">
        <v>1</v>
      </c>
      <c r="G57" s="135">
        <f t="shared" si="2"/>
        <v>145.6</v>
      </c>
      <c r="H57" s="287"/>
      <c r="L57" s="206">
        <v>122.6</v>
      </c>
      <c r="M57" s="112">
        <v>1</v>
      </c>
      <c r="N57" s="135">
        <f t="shared" si="3"/>
        <v>122.6</v>
      </c>
      <c r="O57" s="287"/>
      <c r="S57" s="206">
        <v>101.3</v>
      </c>
      <c r="T57" s="112">
        <v>1</v>
      </c>
      <c r="U57" s="135">
        <f t="shared" si="4"/>
        <v>101.3</v>
      </c>
      <c r="V57" s="287"/>
      <c r="Z57" s="206">
        <v>86.4</v>
      </c>
      <c r="AA57" s="112">
        <v>1</v>
      </c>
      <c r="AB57" s="135">
        <f t="shared" si="5"/>
        <v>86.4</v>
      </c>
      <c r="AC57" s="287"/>
      <c r="AG57" s="206">
        <v>87.9</v>
      </c>
      <c r="AH57" s="112">
        <v>1</v>
      </c>
      <c r="AI57" s="135">
        <f t="shared" si="6"/>
        <v>87.9</v>
      </c>
      <c r="AJ57" s="287"/>
      <c r="AN57" s="206">
        <v>78.3</v>
      </c>
      <c r="AO57" s="112">
        <v>1</v>
      </c>
      <c r="AP57" s="135">
        <f t="shared" si="7"/>
        <v>78.3</v>
      </c>
      <c r="AQ57" s="287"/>
      <c r="AU57" s="206">
        <v>233.2</v>
      </c>
      <c r="AV57" s="112">
        <v>1</v>
      </c>
      <c r="AW57" s="135">
        <f t="shared" si="8"/>
        <v>233.2</v>
      </c>
      <c r="AX57" s="287"/>
      <c r="AY57" s="154"/>
      <c r="AZ57" s="155"/>
      <c r="BA57" s="148"/>
      <c r="BD57" s="206">
        <v>101.3</v>
      </c>
      <c r="BE57" s="112">
        <v>1</v>
      </c>
      <c r="BF57" s="135">
        <f t="shared" si="9"/>
        <v>101.3</v>
      </c>
      <c r="BG57" s="287"/>
    </row>
    <row r="58" spans="1:59" x14ac:dyDescent="0.2">
      <c r="A58" s="95"/>
      <c r="B58" s="96"/>
      <c r="C58" s="96"/>
      <c r="D58" s="116"/>
      <c r="E58" s="206"/>
      <c r="F58" s="112"/>
      <c r="G58" s="122"/>
      <c r="H58" s="141"/>
      <c r="L58" s="202"/>
      <c r="M58" s="112"/>
      <c r="N58" s="122"/>
      <c r="O58" s="141"/>
      <c r="S58" s="107"/>
      <c r="T58" s="112"/>
      <c r="U58" s="122"/>
      <c r="V58" s="141"/>
      <c r="Z58" s="107"/>
      <c r="AA58" s="112"/>
      <c r="AB58" s="122"/>
      <c r="AC58" s="141"/>
      <c r="AG58" s="206"/>
      <c r="AH58" s="112"/>
      <c r="AI58" s="122"/>
      <c r="AJ58" s="141"/>
      <c r="AN58" s="206"/>
      <c r="AO58" s="112"/>
      <c r="AP58" s="122"/>
      <c r="AQ58" s="141"/>
      <c r="AU58" s="206"/>
      <c r="AV58" s="112"/>
      <c r="AW58" s="122"/>
      <c r="AX58" s="141"/>
      <c r="AY58" s="154"/>
      <c r="AZ58" s="155"/>
      <c r="BA58" s="155"/>
      <c r="BD58" s="107"/>
      <c r="BE58" s="112"/>
      <c r="BF58" s="122"/>
      <c r="BG58" s="141"/>
    </row>
    <row r="59" spans="1:59" x14ac:dyDescent="0.2">
      <c r="A59" s="95"/>
      <c r="B59" s="96"/>
      <c r="C59" s="96"/>
      <c r="D59" s="116"/>
      <c r="E59" s="206"/>
      <c r="F59" s="112"/>
      <c r="G59" s="122"/>
      <c r="H59" s="141"/>
      <c r="L59" s="202"/>
      <c r="M59" s="112"/>
      <c r="N59" s="122"/>
      <c r="O59" s="141"/>
      <c r="S59" s="107"/>
      <c r="T59" s="112"/>
      <c r="U59" s="122"/>
      <c r="V59" s="141"/>
      <c r="Z59" s="107"/>
      <c r="AA59" s="112"/>
      <c r="AB59" s="122"/>
      <c r="AC59" s="141"/>
      <c r="AG59" s="206"/>
      <c r="AH59" s="112"/>
      <c r="AI59" s="122"/>
      <c r="AJ59" s="141"/>
      <c r="AN59" s="206"/>
      <c r="AO59" s="112"/>
      <c r="AP59" s="122"/>
      <c r="AQ59" s="141"/>
      <c r="AU59" s="206"/>
      <c r="AV59" s="112"/>
      <c r="AW59" s="122"/>
      <c r="AX59" s="141"/>
      <c r="AY59" s="154"/>
      <c r="AZ59" s="155"/>
      <c r="BA59" s="155"/>
      <c r="BD59" s="107"/>
      <c r="BE59" s="112"/>
      <c r="BF59" s="122"/>
      <c r="BG59" s="141"/>
    </row>
    <row r="60" spans="1:59" x14ac:dyDescent="0.2">
      <c r="A60" s="96"/>
      <c r="B60" s="96" t="s">
        <v>150</v>
      </c>
      <c r="C60" s="96" t="s">
        <v>125</v>
      </c>
      <c r="D60" s="116" t="s">
        <v>138</v>
      </c>
      <c r="E60" s="206">
        <f>SUM(E48:E59)</f>
        <v>1111.5</v>
      </c>
      <c r="F60" s="113" t="s">
        <v>87</v>
      </c>
      <c r="G60" s="135">
        <f>SUM(G48:G59)</f>
        <v>1111.5</v>
      </c>
      <c r="H60" s="141"/>
      <c r="L60" s="206">
        <f>SUM(L48:L59)</f>
        <v>910.00000000000011</v>
      </c>
      <c r="M60" s="113" t="s">
        <v>87</v>
      </c>
      <c r="N60" s="135">
        <f>SUM(N48:N59)</f>
        <v>910.00000000000011</v>
      </c>
      <c r="O60" s="141"/>
      <c r="S60" s="107">
        <f>SUM(S48:S59)</f>
        <v>731.39999999999986</v>
      </c>
      <c r="T60" s="113" t="s">
        <v>87</v>
      </c>
      <c r="U60" s="135">
        <f>SUM(U48:U59)</f>
        <v>731.39999999999986</v>
      </c>
      <c r="V60" s="141"/>
      <c r="Z60" s="107">
        <f>SUM(Z48:Z59)</f>
        <v>388.9</v>
      </c>
      <c r="AA60" s="113" t="s">
        <v>87</v>
      </c>
      <c r="AB60" s="135">
        <f>SUM(AB48:AB59)</f>
        <v>388.9</v>
      </c>
      <c r="AC60" s="141"/>
      <c r="AG60" s="206">
        <f>SUM(AG48:AG59)</f>
        <v>1148.2000000000003</v>
      </c>
      <c r="AH60" s="113" t="s">
        <v>87</v>
      </c>
      <c r="AI60" s="135">
        <f>SUM(AI48:AI59)</f>
        <v>1148.2000000000003</v>
      </c>
      <c r="AJ60" s="141"/>
      <c r="AN60" s="206">
        <f>SUM(AN48:AN59)</f>
        <v>814.09999999999991</v>
      </c>
      <c r="AO60" s="113" t="s">
        <v>87</v>
      </c>
      <c r="AP60" s="135">
        <f>SUM(AP48:AP59)</f>
        <v>814.09999999999991</v>
      </c>
      <c r="AQ60" s="141"/>
      <c r="AU60" s="206">
        <f>SUM(AU48:AU59)</f>
        <v>1354.7</v>
      </c>
      <c r="AV60" s="113" t="s">
        <v>87</v>
      </c>
      <c r="AW60" s="135">
        <f>SUM(AW48:AW59)</f>
        <v>1354.7</v>
      </c>
      <c r="AX60" s="141"/>
      <c r="AY60" s="154"/>
      <c r="AZ60" s="154"/>
      <c r="BA60" s="148"/>
      <c r="BD60" s="107">
        <f>SUM(BD48:BD59)</f>
        <v>696.89999999999986</v>
      </c>
      <c r="BE60" s="113" t="s">
        <v>87</v>
      </c>
      <c r="BF60" s="135">
        <f>SUM(BF48:BF59)</f>
        <v>696.89999999999986</v>
      </c>
      <c r="BG60" s="141"/>
    </row>
    <row r="61" spans="1:59" x14ac:dyDescent="0.2">
      <c r="A61" s="96"/>
      <c r="B61" s="96"/>
      <c r="C61" s="96"/>
      <c r="D61" s="116"/>
      <c r="E61" s="206"/>
      <c r="F61" s="113"/>
      <c r="G61" s="135"/>
      <c r="H61" s="141"/>
      <c r="L61" s="107"/>
      <c r="M61" s="113"/>
      <c r="N61" s="135"/>
      <c r="O61" s="141"/>
      <c r="S61" s="107"/>
      <c r="T61" s="113"/>
      <c r="U61" s="135"/>
      <c r="V61" s="141"/>
      <c r="Z61" s="107"/>
      <c r="AA61" s="113"/>
      <c r="AB61" s="135"/>
      <c r="AC61" s="141"/>
      <c r="AG61" s="107"/>
      <c r="AH61" s="113"/>
      <c r="AI61" s="135"/>
      <c r="AJ61" s="141"/>
      <c r="AN61" s="107"/>
      <c r="AO61" s="113"/>
      <c r="AP61" s="135"/>
      <c r="AQ61" s="141"/>
      <c r="AU61" s="107"/>
      <c r="AV61" s="113"/>
      <c r="AW61" s="135"/>
      <c r="AX61" s="141"/>
      <c r="AY61" s="154"/>
      <c r="AZ61" s="154"/>
      <c r="BA61" s="148"/>
      <c r="BD61" s="107"/>
      <c r="BE61" s="113"/>
      <c r="BF61" s="135"/>
      <c r="BG61" s="141"/>
    </row>
    <row r="62" spans="1:59" x14ac:dyDescent="0.2">
      <c r="A62" s="96"/>
      <c r="B62" s="96"/>
      <c r="C62" s="96"/>
      <c r="D62" s="116"/>
      <c r="E62" s="206"/>
      <c r="F62" s="113"/>
      <c r="G62" s="135"/>
      <c r="H62" s="141"/>
      <c r="L62" s="107"/>
      <c r="M62" s="113"/>
      <c r="N62" s="135"/>
      <c r="O62" s="141"/>
      <c r="S62" s="107"/>
      <c r="T62" s="113"/>
      <c r="U62" s="135"/>
      <c r="V62" s="141"/>
      <c r="Z62" s="107"/>
      <c r="AA62" s="113"/>
      <c r="AB62" s="135"/>
      <c r="AC62" s="141"/>
      <c r="AG62" s="107"/>
      <c r="AH62" s="113"/>
      <c r="AI62" s="135"/>
      <c r="AJ62" s="141"/>
      <c r="AN62" s="107"/>
      <c r="AO62" s="113"/>
      <c r="AP62" s="135"/>
      <c r="AQ62" s="141"/>
      <c r="AU62" s="107"/>
      <c r="AV62" s="113"/>
      <c r="AW62" s="135"/>
      <c r="AX62" s="141"/>
      <c r="AY62" s="154"/>
      <c r="AZ62" s="154"/>
      <c r="BA62" s="148"/>
      <c r="BD62" s="107"/>
      <c r="BE62" s="113"/>
      <c r="BF62" s="135"/>
      <c r="BG62" s="141"/>
    </row>
    <row r="63" spans="1:59" x14ac:dyDescent="0.2">
      <c r="A63" s="96"/>
      <c r="B63" s="96"/>
      <c r="C63" s="96"/>
      <c r="D63" s="116"/>
      <c r="E63" s="268"/>
      <c r="F63" s="113"/>
      <c r="G63" s="221">
        <f>IF(PRODUCT(F64:F67)=1,0,1)</f>
        <v>0</v>
      </c>
      <c r="H63" s="141"/>
      <c r="L63" s="268"/>
      <c r="M63" s="113"/>
      <c r="N63" s="221">
        <f>IF(PRODUCT(M64:M67)=1,0,1)</f>
        <v>0</v>
      </c>
      <c r="O63" s="141"/>
      <c r="S63" s="268"/>
      <c r="T63" s="113"/>
      <c r="U63" s="221">
        <f>IF(PRODUCT(T64:T67)=1,0,1)</f>
        <v>0</v>
      </c>
      <c r="V63" s="141"/>
      <c r="Z63" s="268"/>
      <c r="AA63" s="113"/>
      <c r="AB63" s="221">
        <f>IF(PRODUCT(AA64:AA67)=1,0,1)</f>
        <v>0</v>
      </c>
      <c r="AC63" s="141"/>
      <c r="AG63" s="268"/>
      <c r="AH63" s="113"/>
      <c r="AI63" s="221">
        <f>IF(PRODUCT(AH64:AH67)=1,0,1)</f>
        <v>0</v>
      </c>
      <c r="AJ63" s="141"/>
      <c r="AN63" s="268"/>
      <c r="AO63" s="113"/>
      <c r="AP63" s="221">
        <f>IF(PRODUCT(AO64:AO67)=1,0,1)</f>
        <v>0</v>
      </c>
      <c r="AQ63" s="141"/>
      <c r="AU63" s="268"/>
      <c r="AV63" s="113"/>
      <c r="AW63" s="221">
        <f>IF(PRODUCT(AV64:AV67)=1,0,1)</f>
        <v>0</v>
      </c>
      <c r="AX63" s="141"/>
      <c r="AY63" s="154"/>
      <c r="AZ63" s="154"/>
      <c r="BA63" s="148"/>
      <c r="BD63" s="268"/>
      <c r="BE63" s="113"/>
      <c r="BF63" s="221">
        <f>IF(PRODUCT(BE64:BE67)=1,0,1)</f>
        <v>0</v>
      </c>
      <c r="BG63" s="141"/>
    </row>
    <row r="64" spans="1:59" x14ac:dyDescent="0.2">
      <c r="A64" s="96"/>
      <c r="B64" s="96" t="s">
        <v>109</v>
      </c>
      <c r="C64" s="97"/>
      <c r="D64" s="116"/>
      <c r="E64" s="283">
        <v>0.25</v>
      </c>
      <c r="F64" s="266">
        <v>1</v>
      </c>
      <c r="G64" s="267">
        <f>E64*F64</f>
        <v>0.25</v>
      </c>
      <c r="H64" s="291" t="str">
        <f>IF(G63=1,"Data: User Adjusted","")</f>
        <v/>
      </c>
      <c r="L64" s="283">
        <v>0.25</v>
      </c>
      <c r="M64" s="266">
        <v>1</v>
      </c>
      <c r="N64" s="267">
        <f>L64*M64</f>
        <v>0.25</v>
      </c>
      <c r="O64" s="291" t="str">
        <f>IF(N63=1,"Data: User Adjusted","")</f>
        <v/>
      </c>
      <c r="S64" s="283">
        <v>0.25</v>
      </c>
      <c r="T64" s="266">
        <v>1</v>
      </c>
      <c r="U64" s="267">
        <f>S64*T64</f>
        <v>0.25</v>
      </c>
      <c r="V64" s="291" t="str">
        <f>IF(U63=1,"Data: User Adjusted","")</f>
        <v/>
      </c>
      <c r="Z64" s="283">
        <v>0.25</v>
      </c>
      <c r="AA64" s="266">
        <v>1</v>
      </c>
      <c r="AB64" s="267">
        <f>Z64*AA64</f>
        <v>0.25</v>
      </c>
      <c r="AC64" s="291" t="str">
        <f>IF(AB63=1,"Data: User Adjusted","")</f>
        <v/>
      </c>
      <c r="AG64" s="283">
        <v>0.25</v>
      </c>
      <c r="AH64" s="266">
        <v>1</v>
      </c>
      <c r="AI64" s="267">
        <f>AG64*AH64</f>
        <v>0.25</v>
      </c>
      <c r="AJ64" s="291" t="str">
        <f>IF(AI63=1,"Data: User Adjusted","")</f>
        <v/>
      </c>
      <c r="AN64" s="283">
        <v>0.25</v>
      </c>
      <c r="AO64" s="266">
        <v>1</v>
      </c>
      <c r="AP64" s="267">
        <f>AN64*AO64</f>
        <v>0.25</v>
      </c>
      <c r="AQ64" s="291" t="str">
        <f>IF(AP63=1,"Data: User Adjusted","")</f>
        <v/>
      </c>
      <c r="AU64" s="283">
        <v>0.25</v>
      </c>
      <c r="AV64" s="266">
        <v>1</v>
      </c>
      <c r="AW64" s="267">
        <f>AU64*AV64</f>
        <v>0.25</v>
      </c>
      <c r="AX64" s="291" t="str">
        <f>IF(AW63=1,"Data: User Adjusted","")</f>
        <v/>
      </c>
      <c r="AY64" s="168"/>
      <c r="AZ64" s="168"/>
      <c r="BA64" s="156"/>
      <c r="BD64" s="283">
        <v>0.25</v>
      </c>
      <c r="BE64" s="266">
        <v>1</v>
      </c>
      <c r="BF64" s="267">
        <f>BD64*BE64</f>
        <v>0.25</v>
      </c>
      <c r="BG64" s="291" t="str">
        <f>IF(BF63=1,"Data: User Adjusted","")</f>
        <v/>
      </c>
    </row>
    <row r="65" spans="1:59" x14ac:dyDescent="0.2">
      <c r="A65" s="96"/>
      <c r="B65" s="96" t="s">
        <v>8</v>
      </c>
      <c r="C65" s="97"/>
      <c r="D65" s="116"/>
      <c r="E65" s="268">
        <v>0.05</v>
      </c>
      <c r="F65" s="266">
        <v>1</v>
      </c>
      <c r="G65" s="267">
        <f>E65*F65</f>
        <v>0.05</v>
      </c>
      <c r="H65" s="291"/>
      <c r="L65" s="268">
        <v>0.05</v>
      </c>
      <c r="M65" s="266">
        <v>1</v>
      </c>
      <c r="N65" s="267">
        <f>L65*M65</f>
        <v>0.05</v>
      </c>
      <c r="O65" s="291"/>
      <c r="S65" s="268">
        <v>0.05</v>
      </c>
      <c r="T65" s="266">
        <v>1</v>
      </c>
      <c r="U65" s="267">
        <f>S65*T65</f>
        <v>0.05</v>
      </c>
      <c r="V65" s="291"/>
      <c r="Z65" s="268">
        <v>0.05</v>
      </c>
      <c r="AA65" s="266">
        <v>1</v>
      </c>
      <c r="AB65" s="267">
        <f>Z65*AA65</f>
        <v>0.05</v>
      </c>
      <c r="AC65" s="291"/>
      <c r="AG65" s="268">
        <v>0.05</v>
      </c>
      <c r="AH65" s="266">
        <v>1</v>
      </c>
      <c r="AI65" s="267">
        <f>AG65*AH65</f>
        <v>0.05</v>
      </c>
      <c r="AJ65" s="291"/>
      <c r="AN65" s="268">
        <v>0.05</v>
      </c>
      <c r="AO65" s="266">
        <v>1</v>
      </c>
      <c r="AP65" s="267">
        <f>AN65*AO65</f>
        <v>0.05</v>
      </c>
      <c r="AQ65" s="291"/>
      <c r="AU65" s="268">
        <v>0.05</v>
      </c>
      <c r="AV65" s="266">
        <v>1</v>
      </c>
      <c r="AW65" s="267">
        <f>AU65*AV65</f>
        <v>0.05</v>
      </c>
      <c r="AX65" s="291"/>
      <c r="AY65" s="169"/>
      <c r="AZ65" s="169"/>
      <c r="BA65" s="156"/>
      <c r="BD65" s="268">
        <v>0.05</v>
      </c>
      <c r="BE65" s="266">
        <v>1</v>
      </c>
      <c r="BF65" s="267">
        <f>BD65*BE65</f>
        <v>0.05</v>
      </c>
      <c r="BG65" s="291"/>
    </row>
    <row r="66" spans="1:59" x14ac:dyDescent="0.2">
      <c r="A66" s="96"/>
      <c r="B66" s="96" t="s">
        <v>9</v>
      </c>
      <c r="C66" s="97"/>
      <c r="D66" s="116"/>
      <c r="E66" s="283">
        <v>0.1</v>
      </c>
      <c r="F66" s="266">
        <v>1</v>
      </c>
      <c r="G66" s="267">
        <f>E66*F66</f>
        <v>0.1</v>
      </c>
      <c r="H66" s="291"/>
      <c r="L66" s="283">
        <v>0.1</v>
      </c>
      <c r="M66" s="266">
        <v>1</v>
      </c>
      <c r="N66" s="267">
        <f>L66*M66</f>
        <v>0.1</v>
      </c>
      <c r="O66" s="291"/>
      <c r="S66" s="283">
        <v>0.1</v>
      </c>
      <c r="T66" s="266">
        <v>1</v>
      </c>
      <c r="U66" s="267">
        <f>S66*T66</f>
        <v>0.1</v>
      </c>
      <c r="V66" s="291"/>
      <c r="Z66" s="283">
        <v>0.1</v>
      </c>
      <c r="AA66" s="266">
        <v>1</v>
      </c>
      <c r="AB66" s="267">
        <f>Z66*AA66</f>
        <v>0.1</v>
      </c>
      <c r="AC66" s="291"/>
      <c r="AG66" s="283">
        <v>0.1</v>
      </c>
      <c r="AH66" s="266">
        <v>1</v>
      </c>
      <c r="AI66" s="267">
        <f>AG66*AH66</f>
        <v>0.1</v>
      </c>
      <c r="AJ66" s="291"/>
      <c r="AN66" s="283">
        <v>0.1</v>
      </c>
      <c r="AO66" s="266">
        <v>1</v>
      </c>
      <c r="AP66" s="267">
        <f>AN66*AO66</f>
        <v>0.1</v>
      </c>
      <c r="AQ66" s="291"/>
      <c r="AU66" s="283">
        <v>0.1</v>
      </c>
      <c r="AV66" s="266">
        <v>1</v>
      </c>
      <c r="AW66" s="267">
        <f>AU66*AV66</f>
        <v>0.1</v>
      </c>
      <c r="AX66" s="291"/>
      <c r="AY66" s="169"/>
      <c r="AZ66" s="169"/>
      <c r="BA66" s="156"/>
      <c r="BD66" s="283">
        <v>0.1</v>
      </c>
      <c r="BE66" s="266">
        <v>1</v>
      </c>
      <c r="BF66" s="267">
        <f>BD66*BE66</f>
        <v>0.1</v>
      </c>
      <c r="BG66" s="291"/>
    </row>
    <row r="67" spans="1:59" x14ac:dyDescent="0.2">
      <c r="A67" s="96"/>
      <c r="B67" s="96" t="s">
        <v>137</v>
      </c>
      <c r="C67" s="97"/>
      <c r="D67" s="116"/>
      <c r="E67" s="268">
        <v>0.1</v>
      </c>
      <c r="F67" s="266">
        <v>1</v>
      </c>
      <c r="G67" s="267">
        <f>E67*F67</f>
        <v>0.1</v>
      </c>
      <c r="H67" s="291"/>
      <c r="L67" s="268">
        <v>0.1</v>
      </c>
      <c r="M67" s="266">
        <v>1</v>
      </c>
      <c r="N67" s="267">
        <f>L67*M67</f>
        <v>0.1</v>
      </c>
      <c r="O67" s="291"/>
      <c r="S67" s="268">
        <v>0.1</v>
      </c>
      <c r="T67" s="266">
        <v>1</v>
      </c>
      <c r="U67" s="267">
        <f>S67*T67</f>
        <v>0.1</v>
      </c>
      <c r="V67" s="291"/>
      <c r="Z67" s="268">
        <v>0.1</v>
      </c>
      <c r="AA67" s="266">
        <v>1</v>
      </c>
      <c r="AB67" s="267">
        <f>Z67*AA67</f>
        <v>0.1</v>
      </c>
      <c r="AC67" s="291"/>
      <c r="AG67" s="268">
        <v>0.1</v>
      </c>
      <c r="AH67" s="266">
        <v>1</v>
      </c>
      <c r="AI67" s="267">
        <f>AG67*AH67</f>
        <v>0.1</v>
      </c>
      <c r="AJ67" s="291"/>
      <c r="AN67" s="268">
        <v>0.1</v>
      </c>
      <c r="AO67" s="266">
        <v>1</v>
      </c>
      <c r="AP67" s="267">
        <f>AN67*AO67</f>
        <v>0.1</v>
      </c>
      <c r="AQ67" s="291"/>
      <c r="AU67" s="268">
        <v>0.1</v>
      </c>
      <c r="AV67" s="266">
        <v>1</v>
      </c>
      <c r="AW67" s="267">
        <f>AU67*AV67</f>
        <v>0.1</v>
      </c>
      <c r="AX67" s="291"/>
      <c r="AY67" s="169"/>
      <c r="AZ67" s="169"/>
      <c r="BA67" s="156"/>
      <c r="BD67" s="268">
        <v>0.1</v>
      </c>
      <c r="BE67" s="266">
        <v>1</v>
      </c>
      <c r="BF67" s="267">
        <f>BD67*BE67</f>
        <v>0.1</v>
      </c>
      <c r="BG67" s="291"/>
    </row>
    <row r="68" spans="1:59" x14ac:dyDescent="0.2">
      <c r="A68" s="96"/>
      <c r="B68" s="96"/>
      <c r="C68" s="97"/>
      <c r="D68" s="249"/>
      <c r="E68" s="215"/>
      <c r="F68" s="109"/>
      <c r="G68" s="135"/>
      <c r="H68" s="141"/>
      <c r="L68" s="104"/>
      <c r="M68" s="109"/>
      <c r="N68" s="135"/>
      <c r="O68" s="141"/>
      <c r="S68" s="104"/>
      <c r="T68" s="109"/>
      <c r="U68" s="135"/>
      <c r="V68" s="141"/>
      <c r="Z68" s="104"/>
      <c r="AA68" s="109"/>
      <c r="AB68" s="135"/>
      <c r="AC68" s="141"/>
      <c r="AG68" s="104"/>
      <c r="AH68" s="109"/>
      <c r="AI68" s="135"/>
      <c r="AJ68" s="141"/>
      <c r="AN68" s="104"/>
      <c r="AO68" s="109"/>
      <c r="AP68" s="135"/>
      <c r="AQ68" s="141"/>
      <c r="AU68" s="104"/>
      <c r="AV68" s="109"/>
      <c r="AW68" s="135"/>
      <c r="AX68" s="141"/>
      <c r="AY68" s="168"/>
      <c r="AZ68" s="168"/>
      <c r="BA68" s="148"/>
      <c r="BD68" s="104"/>
      <c r="BE68" s="109"/>
      <c r="BF68" s="135"/>
      <c r="BG68" s="141"/>
    </row>
    <row r="69" spans="1:59" x14ac:dyDescent="0.2">
      <c r="A69" s="95" t="s">
        <v>73</v>
      </c>
      <c r="B69" s="96"/>
      <c r="C69" s="97"/>
      <c r="D69" s="249"/>
      <c r="E69" s="215"/>
      <c r="F69" s="109"/>
      <c r="G69" s="135"/>
      <c r="H69" s="141"/>
      <c r="L69" s="104"/>
      <c r="M69" s="109"/>
      <c r="N69" s="135"/>
      <c r="O69" s="141"/>
      <c r="S69" s="104"/>
      <c r="T69" s="109"/>
      <c r="U69" s="135"/>
      <c r="V69" s="141"/>
      <c r="Z69" s="104"/>
      <c r="AA69" s="109"/>
      <c r="AB69" s="135"/>
      <c r="AC69" s="141"/>
      <c r="AG69" s="104"/>
      <c r="AH69" s="109"/>
      <c r="AI69" s="135"/>
      <c r="AJ69" s="141"/>
      <c r="AN69" s="104"/>
      <c r="AO69" s="109"/>
      <c r="AP69" s="135"/>
      <c r="AQ69" s="141"/>
      <c r="AU69" s="104"/>
      <c r="AV69" s="109"/>
      <c r="AW69" s="135"/>
      <c r="AX69" s="141"/>
      <c r="AY69" s="168"/>
      <c r="AZ69" s="168"/>
      <c r="BA69" s="148"/>
      <c r="BD69" s="104"/>
      <c r="BE69" s="109"/>
      <c r="BF69" s="135"/>
      <c r="BG69" s="141"/>
    </row>
    <row r="70" spans="1:59" ht="13.5" thickBot="1" x14ac:dyDescent="0.25">
      <c r="A70" s="96"/>
      <c r="B70" s="96"/>
      <c r="C70" s="97"/>
      <c r="D70" s="96"/>
      <c r="E70" s="215"/>
      <c r="F70" s="109"/>
      <c r="G70" s="221">
        <f>IF(PRODUCT(F71:F76,F78:F81)=1,0,1)</f>
        <v>0</v>
      </c>
      <c r="H70" s="141"/>
      <c r="L70" s="104"/>
      <c r="M70" s="109"/>
      <c r="N70" s="221">
        <f>IF(PRODUCT(M71:M76,M78:M81)=1,0,1)</f>
        <v>0</v>
      </c>
      <c r="O70" s="141"/>
      <c r="S70" s="104"/>
      <c r="T70" s="109"/>
      <c r="U70" s="221">
        <f>IF(PRODUCT(T71:T76,T78:T81)=1,0,1)</f>
        <v>0</v>
      </c>
      <c r="V70" s="141"/>
      <c r="Z70" s="104"/>
      <c r="AA70" s="109"/>
      <c r="AB70" s="221">
        <f>IF(PRODUCT(AA71:AA76,AA78:AA81)=1,0,1)</f>
        <v>0</v>
      </c>
      <c r="AC70" s="141"/>
      <c r="AG70" s="104"/>
      <c r="AH70" s="109"/>
      <c r="AI70" s="221">
        <f>IF(PRODUCT(AH71:AH76,AH78:AH81)=1,0,1)</f>
        <v>0</v>
      </c>
      <c r="AJ70" s="141"/>
      <c r="AN70" s="104"/>
      <c r="AO70" s="109"/>
      <c r="AP70" s="221">
        <f>IF(PRODUCT(AO71:AO76,AO78:AO81)=1,0,1)</f>
        <v>0</v>
      </c>
      <c r="AQ70" s="141"/>
      <c r="AU70" s="104"/>
      <c r="AV70" s="109"/>
      <c r="AW70" s="221">
        <f>IF(PRODUCT(AV71:AV76,AV78:AV81)=1,0,1)</f>
        <v>0</v>
      </c>
      <c r="AX70" s="141"/>
      <c r="AY70" s="148"/>
      <c r="AZ70" s="148"/>
      <c r="BA70" s="148"/>
      <c r="BD70" s="104"/>
      <c r="BE70" s="109"/>
      <c r="BF70" s="221">
        <f>IF(PRODUCT(BE71:BE76,BE78:BE81)=1,0,1)</f>
        <v>0</v>
      </c>
      <c r="BG70" s="141"/>
    </row>
    <row r="71" spans="1:59" x14ac:dyDescent="0.2">
      <c r="A71" s="96"/>
      <c r="B71" s="96" t="s">
        <v>101</v>
      </c>
      <c r="C71" s="97"/>
      <c r="D71" s="116" t="s">
        <v>26</v>
      </c>
      <c r="E71" s="206">
        <v>65</v>
      </c>
      <c r="F71" s="112">
        <v>1</v>
      </c>
      <c r="G71" s="135">
        <f>E71*F71</f>
        <v>65</v>
      </c>
      <c r="H71" s="285" t="str">
        <f>IF(G70=1,"Operating Data: User Adjusted","")</f>
        <v/>
      </c>
      <c r="L71" s="206">
        <v>65</v>
      </c>
      <c r="M71" s="218">
        <v>1</v>
      </c>
      <c r="N71" s="216">
        <f>L71*M71</f>
        <v>65</v>
      </c>
      <c r="O71" s="285" t="str">
        <f>IF(N70=1,"Operating Data: User Adjusted","")</f>
        <v/>
      </c>
      <c r="S71" s="107" t="s">
        <v>87</v>
      </c>
      <c r="T71" s="112" t="s">
        <v>87</v>
      </c>
      <c r="U71" s="135" t="s">
        <v>87</v>
      </c>
      <c r="V71" s="285" t="str">
        <f>IF(U70=1,"Operating Data: User Adjusted","")</f>
        <v/>
      </c>
      <c r="Z71" s="107" t="s">
        <v>87</v>
      </c>
      <c r="AA71" s="112" t="s">
        <v>87</v>
      </c>
      <c r="AB71" s="135" t="s">
        <v>87</v>
      </c>
      <c r="AC71" s="285" t="str">
        <f>IF(AB70=1,"Operating Data: User Adjusted","")</f>
        <v/>
      </c>
      <c r="AG71" s="107">
        <v>65</v>
      </c>
      <c r="AH71" s="112">
        <v>1</v>
      </c>
      <c r="AI71" s="135">
        <f>AG71*AH71</f>
        <v>65</v>
      </c>
      <c r="AJ71" s="285" t="str">
        <f>IF(AI70=1,"Operating Data: User Adjusted","")</f>
        <v/>
      </c>
      <c r="AN71" s="107">
        <v>65</v>
      </c>
      <c r="AO71" s="112">
        <v>1</v>
      </c>
      <c r="AP71" s="135">
        <f>AN71*AO71</f>
        <v>65</v>
      </c>
      <c r="AQ71" s="285" t="str">
        <f>IF(AP70=1,"Operating Data: User Adjusted","")</f>
        <v/>
      </c>
      <c r="AU71" s="107">
        <v>65</v>
      </c>
      <c r="AV71" s="112">
        <v>1</v>
      </c>
      <c r="AW71" s="135">
        <f>AU71*AV71</f>
        <v>65</v>
      </c>
      <c r="AX71" s="285" t="str">
        <f>IF(AW70=1,"Operating Data: User Adjusted","")</f>
        <v/>
      </c>
      <c r="AY71" s="154"/>
      <c r="AZ71" s="157"/>
      <c r="BA71" s="148"/>
      <c r="BD71" s="107" t="s">
        <v>87</v>
      </c>
      <c r="BE71" s="112" t="s">
        <v>87</v>
      </c>
      <c r="BF71" s="135" t="s">
        <v>87</v>
      </c>
      <c r="BG71" s="285" t="str">
        <f>IF(BF70=1,"Operating Data: User Adjusted","")</f>
        <v/>
      </c>
    </row>
    <row r="72" spans="1:59" x14ac:dyDescent="0.2">
      <c r="A72" s="96"/>
      <c r="B72" s="96" t="s">
        <v>20</v>
      </c>
      <c r="C72" s="97"/>
      <c r="D72" s="116" t="s">
        <v>188</v>
      </c>
      <c r="E72" s="206">
        <v>39.72</v>
      </c>
      <c r="F72" s="112">
        <v>1</v>
      </c>
      <c r="G72" s="216">
        <f>E72*F72</f>
        <v>39.72</v>
      </c>
      <c r="H72" s="286"/>
      <c r="L72" s="206">
        <v>34.22</v>
      </c>
      <c r="M72" s="218">
        <v>1</v>
      </c>
      <c r="N72" s="216">
        <f>L72*M72</f>
        <v>34.22</v>
      </c>
      <c r="O72" s="286"/>
      <c r="S72" s="107">
        <v>25.5</v>
      </c>
      <c r="T72" s="282">
        <v>1</v>
      </c>
      <c r="U72" s="135">
        <f>S72*T72</f>
        <v>25.5</v>
      </c>
      <c r="V72" s="286"/>
      <c r="Z72" s="107">
        <v>16.600000000000001</v>
      </c>
      <c r="AA72" s="112">
        <v>1</v>
      </c>
      <c r="AB72" s="135">
        <f>Z72*AA72</f>
        <v>16.600000000000001</v>
      </c>
      <c r="AC72" s="286"/>
      <c r="AG72" s="107">
        <v>40.1</v>
      </c>
      <c r="AH72" s="112">
        <v>1</v>
      </c>
      <c r="AI72" s="135">
        <f>AG72*AH72</f>
        <v>40.1</v>
      </c>
      <c r="AJ72" s="286"/>
      <c r="AN72" s="107">
        <v>32.6</v>
      </c>
      <c r="AO72" s="112">
        <v>1</v>
      </c>
      <c r="AP72" s="135">
        <f>AN72*AO72</f>
        <v>32.6</v>
      </c>
      <c r="AQ72" s="286"/>
      <c r="AU72" s="107">
        <v>44.5</v>
      </c>
      <c r="AV72" s="112">
        <v>1</v>
      </c>
      <c r="AW72" s="135">
        <f>AU72*AV72</f>
        <v>44.5</v>
      </c>
      <c r="AX72" s="286"/>
      <c r="AY72" s="154"/>
      <c r="AZ72" s="157"/>
      <c r="BA72" s="148"/>
      <c r="BD72" s="107">
        <v>24.6</v>
      </c>
      <c r="BE72" s="112">
        <v>1</v>
      </c>
      <c r="BF72" s="135">
        <f>BD72*BE72</f>
        <v>24.6</v>
      </c>
      <c r="BG72" s="286"/>
    </row>
    <row r="73" spans="1:59" x14ac:dyDescent="0.2">
      <c r="A73" s="96"/>
      <c r="B73" s="96" t="s">
        <v>23</v>
      </c>
      <c r="C73" s="97"/>
      <c r="D73" s="116" t="s">
        <v>26</v>
      </c>
      <c r="E73" s="245">
        <v>6</v>
      </c>
      <c r="F73" s="246">
        <v>1</v>
      </c>
      <c r="G73" s="247">
        <f>E73*F73</f>
        <v>6</v>
      </c>
      <c r="H73" s="286"/>
      <c r="L73" s="245">
        <v>6</v>
      </c>
      <c r="M73" s="246">
        <v>1</v>
      </c>
      <c r="N73" s="247">
        <f>L73*M73</f>
        <v>6</v>
      </c>
      <c r="O73" s="286"/>
      <c r="S73" s="245" t="s">
        <v>87</v>
      </c>
      <c r="T73" s="246" t="s">
        <v>87</v>
      </c>
      <c r="U73" s="247" t="s">
        <v>87</v>
      </c>
      <c r="V73" s="286"/>
      <c r="Z73" s="107" t="s">
        <v>87</v>
      </c>
      <c r="AA73" s="112" t="s">
        <v>87</v>
      </c>
      <c r="AB73" s="135" t="s">
        <v>87</v>
      </c>
      <c r="AC73" s="286"/>
      <c r="AG73" s="206">
        <v>6</v>
      </c>
      <c r="AH73" s="112">
        <v>1</v>
      </c>
      <c r="AI73" s="216">
        <f>AG73*AH73</f>
        <v>6</v>
      </c>
      <c r="AJ73" s="286"/>
      <c r="AN73" s="206">
        <v>6</v>
      </c>
      <c r="AO73" s="112">
        <v>1</v>
      </c>
      <c r="AP73" s="216">
        <f>AN73*AO73</f>
        <v>6</v>
      </c>
      <c r="AQ73" s="286"/>
      <c r="AU73" s="206">
        <v>6</v>
      </c>
      <c r="AV73" s="112">
        <v>1</v>
      </c>
      <c r="AW73" s="216">
        <f>AU73*AV73</f>
        <v>6</v>
      </c>
      <c r="AX73" s="286"/>
      <c r="AY73" s="154"/>
      <c r="AZ73" s="157"/>
      <c r="BA73" s="148"/>
      <c r="BD73" s="245" t="s">
        <v>87</v>
      </c>
      <c r="BE73" s="246" t="s">
        <v>87</v>
      </c>
      <c r="BF73" s="247" t="s">
        <v>87</v>
      </c>
      <c r="BG73" s="286"/>
    </row>
    <row r="74" spans="1:59" x14ac:dyDescent="0.2">
      <c r="A74" s="96"/>
      <c r="B74" s="96" t="s">
        <v>77</v>
      </c>
      <c r="C74" s="97"/>
      <c r="D74" s="116" t="s">
        <v>188</v>
      </c>
      <c r="E74" s="245">
        <v>3.79</v>
      </c>
      <c r="F74" s="246">
        <v>1</v>
      </c>
      <c r="G74" s="247">
        <f>E74*F74</f>
        <v>3.79</v>
      </c>
      <c r="H74" s="286"/>
      <c r="L74" s="206">
        <v>2.48</v>
      </c>
      <c r="M74" s="218">
        <v>1</v>
      </c>
      <c r="N74" s="216">
        <f>L74*M74</f>
        <v>2.48</v>
      </c>
      <c r="O74" s="286"/>
      <c r="S74" s="107">
        <v>1.2</v>
      </c>
      <c r="T74" s="112">
        <v>1</v>
      </c>
      <c r="U74" s="135">
        <f>S74*T74</f>
        <v>1.2</v>
      </c>
      <c r="V74" s="286"/>
      <c r="Z74" s="206">
        <v>1E-3</v>
      </c>
      <c r="AA74" s="112">
        <v>1</v>
      </c>
      <c r="AB74" s="216">
        <f>Z74*AA74</f>
        <v>1E-3</v>
      </c>
      <c r="AC74" s="286"/>
      <c r="AG74" s="107">
        <v>15.2</v>
      </c>
      <c r="AH74" s="112">
        <v>1</v>
      </c>
      <c r="AI74" s="135">
        <f>AG74*AH74</f>
        <v>15.2</v>
      </c>
      <c r="AJ74" s="286"/>
      <c r="AN74" s="107">
        <v>5.7</v>
      </c>
      <c r="AO74" s="112">
        <v>1</v>
      </c>
      <c r="AP74" s="135">
        <f>AN74*AO74</f>
        <v>5.7</v>
      </c>
      <c r="AQ74" s="286"/>
      <c r="AU74" s="107">
        <v>0.1</v>
      </c>
      <c r="AV74" s="112">
        <v>1</v>
      </c>
      <c r="AW74" s="135">
        <f>AU74*AV74</f>
        <v>0.1</v>
      </c>
      <c r="AX74" s="286"/>
      <c r="AY74" s="154"/>
      <c r="AZ74" s="157"/>
      <c r="BA74" s="148"/>
      <c r="BD74" s="107">
        <v>0.98</v>
      </c>
      <c r="BE74" s="112">
        <v>1</v>
      </c>
      <c r="BF74" s="135">
        <f>BD74*BE74</f>
        <v>0.98</v>
      </c>
      <c r="BG74" s="286"/>
    </row>
    <row r="75" spans="1:59" x14ac:dyDescent="0.2">
      <c r="A75" s="96"/>
      <c r="B75" s="96"/>
      <c r="C75" s="97"/>
      <c r="D75" s="116"/>
      <c r="E75" s="107"/>
      <c r="F75" s="112"/>
      <c r="G75" s="135"/>
      <c r="H75" s="286"/>
      <c r="L75" s="206"/>
      <c r="M75" s="218"/>
      <c r="N75" s="216"/>
      <c r="O75" s="286"/>
      <c r="S75" s="107"/>
      <c r="T75" s="112"/>
      <c r="U75" s="135"/>
      <c r="V75" s="286"/>
      <c r="Z75" s="107"/>
      <c r="AA75" s="112"/>
      <c r="AB75" s="135"/>
      <c r="AC75" s="286"/>
      <c r="AG75" s="107"/>
      <c r="AH75" s="112"/>
      <c r="AI75" s="135"/>
      <c r="AJ75" s="286"/>
      <c r="AN75" s="107"/>
      <c r="AO75" s="112"/>
      <c r="AP75" s="135"/>
      <c r="AQ75" s="286"/>
      <c r="AU75" s="107"/>
      <c r="AV75" s="112"/>
      <c r="AW75" s="135"/>
      <c r="AX75" s="286"/>
      <c r="AY75" s="154"/>
      <c r="AZ75" s="157"/>
      <c r="BA75" s="148"/>
      <c r="BD75" s="107"/>
      <c r="BE75" s="112"/>
      <c r="BF75" s="135"/>
      <c r="BG75" s="286"/>
    </row>
    <row r="76" spans="1:59" ht="12.75" customHeight="1" x14ac:dyDescent="0.25">
      <c r="A76" s="100"/>
      <c r="B76" s="96" t="s">
        <v>102</v>
      </c>
      <c r="C76" s="97"/>
      <c r="D76" s="116" t="s">
        <v>26</v>
      </c>
      <c r="E76" s="204" t="s">
        <v>87</v>
      </c>
      <c r="F76" s="112">
        <v>1</v>
      </c>
      <c r="G76" s="135" t="s">
        <v>87</v>
      </c>
      <c r="H76" s="286"/>
      <c r="L76" s="206" t="s">
        <v>87</v>
      </c>
      <c r="M76" s="218" t="s">
        <v>87</v>
      </c>
      <c r="N76" s="216" t="s">
        <v>87</v>
      </c>
      <c r="O76" s="286"/>
      <c r="S76" s="107">
        <v>265</v>
      </c>
      <c r="T76" s="112">
        <v>1</v>
      </c>
      <c r="U76" s="135">
        <f t="shared" ref="U76:U81" si="10">S76*T76</f>
        <v>265</v>
      </c>
      <c r="V76" s="286"/>
      <c r="Z76" s="107">
        <v>265</v>
      </c>
      <c r="AA76" s="112">
        <v>1</v>
      </c>
      <c r="AB76" s="135">
        <f t="shared" ref="AB76:AB81" si="11">Z76*AA76</f>
        <v>265</v>
      </c>
      <c r="AC76" s="286"/>
      <c r="AG76" s="107" t="s">
        <v>87</v>
      </c>
      <c r="AH76" s="112">
        <v>1</v>
      </c>
      <c r="AI76" s="135" t="s">
        <v>87</v>
      </c>
      <c r="AJ76" s="286"/>
      <c r="AN76" s="107" t="s">
        <v>87</v>
      </c>
      <c r="AO76" s="112">
        <v>1</v>
      </c>
      <c r="AP76" s="135" t="s">
        <v>87</v>
      </c>
      <c r="AQ76" s="286"/>
      <c r="AU76" s="107" t="s">
        <v>87</v>
      </c>
      <c r="AV76" s="112">
        <v>1</v>
      </c>
      <c r="AW76" s="135" t="s">
        <v>87</v>
      </c>
      <c r="AX76" s="286"/>
      <c r="AY76" s="148"/>
      <c r="AZ76" s="148"/>
      <c r="BA76" s="148"/>
      <c r="BD76" s="107">
        <v>265</v>
      </c>
      <c r="BE76" s="112">
        <v>1</v>
      </c>
      <c r="BF76" s="135">
        <f t="shared" ref="BF76:BF81" si="12">BD76*BE76</f>
        <v>265</v>
      </c>
      <c r="BG76" s="286"/>
    </row>
    <row r="77" spans="1:59" ht="12.75" customHeight="1" x14ac:dyDescent="0.2">
      <c r="A77" s="96"/>
      <c r="B77" s="96" t="s">
        <v>198</v>
      </c>
      <c r="C77" s="97"/>
      <c r="D77" s="116" t="s">
        <v>26</v>
      </c>
      <c r="E77" s="107">
        <v>0</v>
      </c>
      <c r="F77" s="112">
        <v>0</v>
      </c>
      <c r="G77" s="135">
        <f>E77+F77</f>
        <v>0</v>
      </c>
      <c r="H77" s="286"/>
      <c r="L77" s="107">
        <v>0</v>
      </c>
      <c r="M77" s="112">
        <v>0</v>
      </c>
      <c r="N77" s="135">
        <f>L77+M77</f>
        <v>0</v>
      </c>
      <c r="O77" s="286"/>
      <c r="S77" s="107">
        <v>0</v>
      </c>
      <c r="T77" s="112">
        <v>0</v>
      </c>
      <c r="U77" s="135">
        <f>S77+T77</f>
        <v>0</v>
      </c>
      <c r="V77" s="286"/>
      <c r="Z77" s="107">
        <v>0</v>
      </c>
      <c r="AA77" s="112">
        <v>0</v>
      </c>
      <c r="AB77" s="135">
        <f>Z77+AA77</f>
        <v>0</v>
      </c>
      <c r="AC77" s="286"/>
      <c r="AG77" s="107">
        <v>0</v>
      </c>
      <c r="AH77" s="112">
        <v>0</v>
      </c>
      <c r="AI77" s="135">
        <f>AG77+AH77</f>
        <v>0</v>
      </c>
      <c r="AJ77" s="286"/>
      <c r="AN77" s="107">
        <v>0</v>
      </c>
      <c r="AO77" s="112">
        <v>0</v>
      </c>
      <c r="AP77" s="135">
        <f>AN77+AO77</f>
        <v>0</v>
      </c>
      <c r="AQ77" s="286"/>
      <c r="AU77" s="107">
        <v>0</v>
      </c>
      <c r="AV77" s="112">
        <v>0</v>
      </c>
      <c r="AW77" s="135">
        <f>AU77+AV77</f>
        <v>0</v>
      </c>
      <c r="AX77" s="286"/>
      <c r="AY77" s="148"/>
      <c r="AZ77" s="148"/>
      <c r="BA77" s="148"/>
      <c r="BD77" s="107">
        <v>0</v>
      </c>
      <c r="BE77" s="112">
        <v>0</v>
      </c>
      <c r="BF77" s="135">
        <f>BD77+BE77</f>
        <v>0</v>
      </c>
      <c r="BG77" s="286"/>
    </row>
    <row r="78" spans="1:59" ht="12.75" customHeight="1" x14ac:dyDescent="0.25">
      <c r="A78" s="100"/>
      <c r="B78" s="96" t="s">
        <v>106</v>
      </c>
      <c r="C78" s="97"/>
      <c r="D78" s="116"/>
      <c r="E78" s="107">
        <v>128</v>
      </c>
      <c r="F78" s="112">
        <v>1</v>
      </c>
      <c r="G78" s="135">
        <f>E78*F78</f>
        <v>128</v>
      </c>
      <c r="H78" s="286"/>
      <c r="L78" s="206">
        <v>115</v>
      </c>
      <c r="M78" s="218">
        <v>1</v>
      </c>
      <c r="N78" s="216">
        <f>L78*M78</f>
        <v>115</v>
      </c>
      <c r="O78" s="286"/>
      <c r="S78" s="107">
        <v>60</v>
      </c>
      <c r="T78" s="112">
        <v>1</v>
      </c>
      <c r="U78" s="135">
        <f t="shared" si="10"/>
        <v>60</v>
      </c>
      <c r="V78" s="286"/>
      <c r="Z78" s="107">
        <v>40</v>
      </c>
      <c r="AA78" s="112">
        <v>1</v>
      </c>
      <c r="AB78" s="135">
        <f t="shared" si="11"/>
        <v>40</v>
      </c>
      <c r="AC78" s="286"/>
      <c r="AG78" s="107">
        <v>115</v>
      </c>
      <c r="AH78" s="112">
        <v>1</v>
      </c>
      <c r="AI78" s="135">
        <f>AG78*AH78</f>
        <v>115</v>
      </c>
      <c r="AJ78" s="286"/>
      <c r="AN78" s="107">
        <v>105</v>
      </c>
      <c r="AO78" s="112">
        <v>1</v>
      </c>
      <c r="AP78" s="135">
        <f>AN78*AO78</f>
        <v>105</v>
      </c>
      <c r="AQ78" s="286"/>
      <c r="AU78" s="107">
        <v>128</v>
      </c>
      <c r="AV78" s="112">
        <v>1</v>
      </c>
      <c r="AW78" s="135">
        <f>AU78*AV78</f>
        <v>128</v>
      </c>
      <c r="AX78" s="286"/>
      <c r="AY78" s="154"/>
      <c r="AZ78" s="155"/>
      <c r="BA78" s="148"/>
      <c r="BD78" s="107">
        <v>60</v>
      </c>
      <c r="BE78" s="112">
        <v>1</v>
      </c>
      <c r="BF78" s="135">
        <f t="shared" si="12"/>
        <v>60</v>
      </c>
      <c r="BG78" s="286"/>
    </row>
    <row r="79" spans="1:59" ht="12.75" customHeight="1" x14ac:dyDescent="0.25">
      <c r="A79" s="100"/>
      <c r="B79" s="96" t="s">
        <v>107</v>
      </c>
      <c r="C79" s="97"/>
      <c r="D79" s="116"/>
      <c r="E79" s="107">
        <v>0.05</v>
      </c>
      <c r="F79" s="112">
        <v>1</v>
      </c>
      <c r="G79" s="135">
        <f>E79*F79</f>
        <v>0.05</v>
      </c>
      <c r="H79" s="286"/>
      <c r="L79" s="202">
        <v>0.05</v>
      </c>
      <c r="M79" s="218">
        <v>1</v>
      </c>
      <c r="N79" s="226">
        <f>L79*M79</f>
        <v>0.05</v>
      </c>
      <c r="O79" s="286"/>
      <c r="S79" s="107">
        <v>0.05</v>
      </c>
      <c r="T79" s="112">
        <v>1</v>
      </c>
      <c r="U79" s="135">
        <f t="shared" si="10"/>
        <v>0.05</v>
      </c>
      <c r="V79" s="286"/>
      <c r="Z79" s="107">
        <v>0.05</v>
      </c>
      <c r="AA79" s="112">
        <v>1</v>
      </c>
      <c r="AB79" s="135">
        <f t="shared" si="11"/>
        <v>0.05</v>
      </c>
      <c r="AC79" s="286"/>
      <c r="AG79" s="107">
        <v>0.05</v>
      </c>
      <c r="AH79" s="112">
        <v>1</v>
      </c>
      <c r="AI79" s="135">
        <f>AG79*AH79</f>
        <v>0.05</v>
      </c>
      <c r="AJ79" s="286"/>
      <c r="AN79" s="107">
        <v>0.05</v>
      </c>
      <c r="AO79" s="112">
        <v>1</v>
      </c>
      <c r="AP79" s="135">
        <f>AN79*AO79</f>
        <v>0.05</v>
      </c>
      <c r="AQ79" s="286"/>
      <c r="AU79" s="107">
        <v>0.05</v>
      </c>
      <c r="AV79" s="112">
        <v>1</v>
      </c>
      <c r="AW79" s="135">
        <f>AU79*AV79</f>
        <v>0.05</v>
      </c>
      <c r="AX79" s="286"/>
      <c r="AY79" s="154"/>
      <c r="AZ79" s="155"/>
      <c r="BA79" s="148"/>
      <c r="BD79" s="107">
        <v>0.05</v>
      </c>
      <c r="BE79" s="112">
        <v>1</v>
      </c>
      <c r="BF79" s="135">
        <f t="shared" si="12"/>
        <v>0.05</v>
      </c>
      <c r="BG79" s="286"/>
    </row>
    <row r="80" spans="1:59" ht="12.75" customHeight="1" x14ac:dyDescent="0.25">
      <c r="A80" s="100"/>
      <c r="B80" s="96" t="s">
        <v>108</v>
      </c>
      <c r="C80" s="97"/>
      <c r="D80" s="116"/>
      <c r="E80" s="118">
        <v>0.3</v>
      </c>
      <c r="F80" s="112">
        <v>1</v>
      </c>
      <c r="G80" s="222">
        <f>E80*F80</f>
        <v>0.3</v>
      </c>
      <c r="H80" s="286"/>
      <c r="L80" s="118">
        <v>0.3</v>
      </c>
      <c r="M80" s="112">
        <v>1</v>
      </c>
      <c r="N80" s="222">
        <f>L80*M80</f>
        <v>0.3</v>
      </c>
      <c r="O80" s="286"/>
      <c r="S80" s="118">
        <v>0.3</v>
      </c>
      <c r="T80" s="112">
        <v>1</v>
      </c>
      <c r="U80" s="222">
        <f t="shared" si="10"/>
        <v>0.3</v>
      </c>
      <c r="V80" s="286"/>
      <c r="Z80" s="118">
        <v>0.3</v>
      </c>
      <c r="AA80" s="112">
        <v>1</v>
      </c>
      <c r="AB80" s="222">
        <f t="shared" si="11"/>
        <v>0.3</v>
      </c>
      <c r="AC80" s="286"/>
      <c r="AG80" s="118">
        <v>0.3</v>
      </c>
      <c r="AH80" s="112">
        <v>1</v>
      </c>
      <c r="AI80" s="222">
        <f>AG80*AH80</f>
        <v>0.3</v>
      </c>
      <c r="AJ80" s="286"/>
      <c r="AN80" s="118">
        <v>0.3</v>
      </c>
      <c r="AO80" s="112">
        <v>1</v>
      </c>
      <c r="AP80" s="222">
        <f>AN80*AO80</f>
        <v>0.3</v>
      </c>
      <c r="AQ80" s="286"/>
      <c r="AU80" s="118">
        <v>0.3</v>
      </c>
      <c r="AV80" s="112">
        <v>1</v>
      </c>
      <c r="AW80" s="222">
        <f>AU80*AV80</f>
        <v>0.3</v>
      </c>
      <c r="AX80" s="286"/>
      <c r="AY80" s="158"/>
      <c r="AZ80" s="155"/>
      <c r="BA80" s="148"/>
      <c r="BD80" s="118">
        <v>0.3</v>
      </c>
      <c r="BE80" s="112">
        <v>1</v>
      </c>
      <c r="BF80" s="222">
        <f t="shared" si="12"/>
        <v>0.3</v>
      </c>
      <c r="BG80" s="286"/>
    </row>
    <row r="81" spans="1:59" ht="12.75" customHeight="1" thickBot="1" x14ac:dyDescent="0.3">
      <c r="A81" s="100"/>
      <c r="B81" s="96" t="s">
        <v>24</v>
      </c>
      <c r="C81" s="97"/>
      <c r="D81" s="116"/>
      <c r="E81" s="118">
        <v>0.02</v>
      </c>
      <c r="F81" s="112">
        <v>1</v>
      </c>
      <c r="G81" s="222">
        <f>E81*F81</f>
        <v>0.02</v>
      </c>
      <c r="H81" s="287"/>
      <c r="L81" s="118">
        <v>0.02</v>
      </c>
      <c r="M81" s="112">
        <v>1</v>
      </c>
      <c r="N81" s="222">
        <f>L81*M81</f>
        <v>0.02</v>
      </c>
      <c r="O81" s="287"/>
      <c r="S81" s="118">
        <v>0.02</v>
      </c>
      <c r="T81" s="112">
        <v>1</v>
      </c>
      <c r="U81" s="222">
        <f t="shared" si="10"/>
        <v>0.02</v>
      </c>
      <c r="V81" s="287"/>
      <c r="Z81" s="118">
        <v>0.02</v>
      </c>
      <c r="AA81" s="112">
        <v>1</v>
      </c>
      <c r="AB81" s="222">
        <f t="shared" si="11"/>
        <v>0.02</v>
      </c>
      <c r="AC81" s="287"/>
      <c r="AG81" s="118">
        <v>0.02</v>
      </c>
      <c r="AH81" s="112">
        <v>1</v>
      </c>
      <c r="AI81" s="222">
        <f>AG81*AH81</f>
        <v>0.02</v>
      </c>
      <c r="AJ81" s="287"/>
      <c r="AN81" s="118">
        <v>0.02</v>
      </c>
      <c r="AO81" s="112">
        <v>1</v>
      </c>
      <c r="AP81" s="222">
        <f>AN81*AO81</f>
        <v>0.02</v>
      </c>
      <c r="AQ81" s="287"/>
      <c r="AU81" s="118">
        <v>0.02</v>
      </c>
      <c r="AV81" s="112">
        <v>1</v>
      </c>
      <c r="AW81" s="222">
        <f>AU81*AV81</f>
        <v>0.02</v>
      </c>
      <c r="AX81" s="287"/>
      <c r="AY81" s="158"/>
      <c r="AZ81" s="155"/>
      <c r="BA81" s="148"/>
      <c r="BD81" s="118">
        <v>0.02</v>
      </c>
      <c r="BE81" s="112">
        <v>1</v>
      </c>
      <c r="BF81" s="222">
        <f t="shared" si="12"/>
        <v>0.02</v>
      </c>
      <c r="BG81" s="287"/>
    </row>
    <row r="82" spans="1:59" x14ac:dyDescent="0.2">
      <c r="A82" s="96"/>
      <c r="B82" s="96"/>
      <c r="C82" s="97"/>
      <c r="D82" s="96"/>
      <c r="E82" s="104"/>
      <c r="F82" s="112"/>
      <c r="G82" s="135"/>
      <c r="H82" s="141"/>
      <c r="L82" s="104"/>
      <c r="M82" s="112"/>
      <c r="N82" s="135"/>
      <c r="O82" s="141"/>
      <c r="S82" s="104"/>
      <c r="T82" s="109"/>
      <c r="U82" s="135"/>
      <c r="V82" s="141"/>
      <c r="Z82" s="104"/>
      <c r="AA82" s="109"/>
      <c r="AB82" s="135"/>
      <c r="AC82" s="141"/>
      <c r="AG82" s="104"/>
      <c r="AH82" s="109"/>
      <c r="AI82" s="135"/>
      <c r="AJ82" s="141"/>
      <c r="AN82" s="104"/>
      <c r="AO82" s="109"/>
      <c r="AP82" s="135"/>
      <c r="AQ82" s="141"/>
      <c r="AU82" s="104"/>
      <c r="AV82" s="109"/>
      <c r="AW82" s="135"/>
      <c r="AX82" s="141"/>
      <c r="AY82" s="148"/>
      <c r="AZ82" s="148"/>
      <c r="BA82" s="148"/>
      <c r="BD82" s="104"/>
      <c r="BE82" s="109"/>
      <c r="BF82" s="135"/>
      <c r="BG82" s="141"/>
    </row>
    <row r="83" spans="1:59" ht="13.5" thickBot="1" x14ac:dyDescent="0.25">
      <c r="A83" s="95" t="s">
        <v>103</v>
      </c>
      <c r="B83" s="96"/>
      <c r="C83" s="97"/>
      <c r="D83" s="96"/>
      <c r="E83" s="104"/>
      <c r="F83" s="112"/>
      <c r="G83" s="221">
        <f>IF(PRODUCT(F84:F86)=1,0,1)</f>
        <v>0</v>
      </c>
      <c r="H83" s="141"/>
      <c r="L83" s="104"/>
      <c r="M83" s="112"/>
      <c r="N83" s="221">
        <f>IF(PRODUCT(M84:M86)=1,0,1)</f>
        <v>0</v>
      </c>
      <c r="O83" s="141"/>
      <c r="S83" s="104"/>
      <c r="T83" s="109"/>
      <c r="U83" s="221">
        <f>IF(PRODUCT(T84:T86)=1,0,1)</f>
        <v>0</v>
      </c>
      <c r="V83" s="141"/>
      <c r="Z83" s="104"/>
      <c r="AA83" s="112"/>
      <c r="AB83" s="221">
        <f>IF(PRODUCT(AA84:AA86)=1,0,1)</f>
        <v>0</v>
      </c>
      <c r="AC83" s="141"/>
      <c r="AG83" s="104"/>
      <c r="AH83" s="112"/>
      <c r="AI83" s="221">
        <f>IF(PRODUCT(AH84:AH86)=1,0,1)</f>
        <v>0</v>
      </c>
      <c r="AJ83" s="141"/>
      <c r="AN83" s="104"/>
      <c r="AO83" s="109"/>
      <c r="AP83" s="221">
        <f>IF(PRODUCT(AO84:AO86)=1,0,1)</f>
        <v>0</v>
      </c>
      <c r="AQ83" s="141"/>
      <c r="AU83" s="104"/>
      <c r="AV83" s="109"/>
      <c r="AW83" s="221">
        <f>IF(PRODUCT(AV84:AV86)=1,0,1)</f>
        <v>0</v>
      </c>
      <c r="AX83" s="141"/>
      <c r="AY83" s="148"/>
      <c r="AZ83" s="148"/>
      <c r="BA83" s="148"/>
      <c r="BD83" s="104"/>
      <c r="BE83" s="109"/>
      <c r="BF83" s="221">
        <f>IF(PRODUCT(BE84:BE86)=1,0,1)</f>
        <v>0</v>
      </c>
      <c r="BG83" s="141"/>
    </row>
    <row r="84" spans="1:59" x14ac:dyDescent="0.2">
      <c r="A84" s="96"/>
      <c r="B84" s="96" t="s">
        <v>104</v>
      </c>
      <c r="C84" s="97"/>
      <c r="D84" s="116" t="s">
        <v>26</v>
      </c>
      <c r="E84" s="107">
        <v>40</v>
      </c>
      <c r="F84" s="246">
        <v>1</v>
      </c>
      <c r="G84" s="248">
        <f>E84*F84</f>
        <v>40</v>
      </c>
      <c r="H84" s="288" t="str">
        <f>IF(G83=1,"Revenue Data: User Adjusted","")</f>
        <v/>
      </c>
      <c r="L84" s="107">
        <v>40</v>
      </c>
      <c r="M84" s="112">
        <v>1</v>
      </c>
      <c r="N84" s="135">
        <f>L84*M84</f>
        <v>40</v>
      </c>
      <c r="O84" s="288" t="str">
        <f>IF(N83=1,"Revenue Data: User Adjusted","")</f>
        <v/>
      </c>
      <c r="S84" s="107" t="s">
        <v>87</v>
      </c>
      <c r="T84" s="112" t="s">
        <v>87</v>
      </c>
      <c r="U84" s="135" t="s">
        <v>87</v>
      </c>
      <c r="V84" s="288" t="str">
        <f>IF(U83=1,"Revenue Data: User Adjusted","")</f>
        <v/>
      </c>
      <c r="Z84" s="107" t="s">
        <v>87</v>
      </c>
      <c r="AA84" s="112" t="s">
        <v>87</v>
      </c>
      <c r="AB84" s="135" t="s">
        <v>87</v>
      </c>
      <c r="AC84" s="288" t="str">
        <f>IF(AB83=1,"Revenue Data: User Adjusted","")</f>
        <v/>
      </c>
      <c r="AG84" s="107" t="s">
        <v>87</v>
      </c>
      <c r="AH84" s="112" t="s">
        <v>87</v>
      </c>
      <c r="AI84" s="135" t="s">
        <v>87</v>
      </c>
      <c r="AJ84" s="288" t="str">
        <f>IF(AI83=1,"Revenue Data: User Adjusted","")</f>
        <v/>
      </c>
      <c r="AN84" s="118" t="s">
        <v>87</v>
      </c>
      <c r="AO84" s="112" t="s">
        <v>87</v>
      </c>
      <c r="AP84" s="135" t="s">
        <v>87</v>
      </c>
      <c r="AQ84" s="288" t="str">
        <f>IF(AP83=1,"Revenue Data: User Adjusted","")</f>
        <v/>
      </c>
      <c r="AU84" s="107" t="s">
        <v>87</v>
      </c>
      <c r="AV84" s="112" t="s">
        <v>87</v>
      </c>
      <c r="AW84" s="135" t="s">
        <v>87</v>
      </c>
      <c r="AX84" s="288" t="str">
        <f>IF(AW83=1,"Revenue Data: User Adjusted","")</f>
        <v/>
      </c>
      <c r="AY84" s="155"/>
      <c r="AZ84" s="157"/>
      <c r="BA84" s="148"/>
      <c r="BD84" s="107" t="s">
        <v>87</v>
      </c>
      <c r="BE84" s="112" t="s">
        <v>87</v>
      </c>
      <c r="BF84" s="135" t="s">
        <v>87</v>
      </c>
      <c r="BG84" s="288" t="str">
        <f>IF(BF83=1,"Revenue Data: User Adjusted","")</f>
        <v/>
      </c>
    </row>
    <row r="85" spans="1:59" x14ac:dyDescent="0.2">
      <c r="A85" s="96"/>
      <c r="B85" s="96" t="s">
        <v>105</v>
      </c>
      <c r="C85" s="97"/>
      <c r="D85" s="116" t="s">
        <v>26</v>
      </c>
      <c r="E85" s="270">
        <f>2*1000/1.53</f>
        <v>1307.18954248366</v>
      </c>
      <c r="F85" s="246">
        <v>1</v>
      </c>
      <c r="G85" s="269">
        <f>E85*F85</f>
        <v>1307.18954248366</v>
      </c>
      <c r="H85" s="289"/>
      <c r="L85" s="270">
        <f>2*1000/1.53</f>
        <v>1307.18954248366</v>
      </c>
      <c r="M85" s="246">
        <v>1</v>
      </c>
      <c r="N85" s="269">
        <f>L85*M85</f>
        <v>1307.18954248366</v>
      </c>
      <c r="O85" s="289"/>
      <c r="S85" s="107" t="s">
        <v>87</v>
      </c>
      <c r="T85" s="112" t="s">
        <v>87</v>
      </c>
      <c r="U85" s="135" t="s">
        <v>87</v>
      </c>
      <c r="V85" s="289"/>
      <c r="Z85" s="107" t="s">
        <v>87</v>
      </c>
      <c r="AA85" s="112" t="s">
        <v>87</v>
      </c>
      <c r="AB85" s="135" t="s">
        <v>87</v>
      </c>
      <c r="AC85" s="289"/>
      <c r="AG85" s="107" t="s">
        <v>87</v>
      </c>
      <c r="AH85" s="112" t="s">
        <v>87</v>
      </c>
      <c r="AI85" s="135" t="s">
        <v>87</v>
      </c>
      <c r="AJ85" s="289"/>
      <c r="AN85" s="118" t="s">
        <v>87</v>
      </c>
      <c r="AO85" s="112" t="s">
        <v>87</v>
      </c>
      <c r="AP85" s="135" t="s">
        <v>87</v>
      </c>
      <c r="AQ85" s="289"/>
      <c r="AU85" s="107" t="s">
        <v>87</v>
      </c>
      <c r="AV85" s="112" t="s">
        <v>87</v>
      </c>
      <c r="AW85" s="135" t="s">
        <v>87</v>
      </c>
      <c r="AX85" s="289"/>
      <c r="AY85" s="155"/>
      <c r="AZ85" s="157"/>
      <c r="BA85" s="148"/>
      <c r="BD85" s="107" t="s">
        <v>87</v>
      </c>
      <c r="BE85" s="112" t="s">
        <v>87</v>
      </c>
      <c r="BF85" s="135" t="s">
        <v>87</v>
      </c>
      <c r="BG85" s="289"/>
    </row>
    <row r="86" spans="1:59" ht="13.5" thickBot="1" x14ac:dyDescent="0.25">
      <c r="A86" s="96"/>
      <c r="B86" s="96" t="s">
        <v>195</v>
      </c>
      <c r="C86" s="97"/>
      <c r="D86" s="116" t="s">
        <v>186</v>
      </c>
      <c r="E86" s="118">
        <v>0.1</v>
      </c>
      <c r="F86" s="112">
        <v>1</v>
      </c>
      <c r="G86" s="222">
        <f>E86*F86</f>
        <v>0.1</v>
      </c>
      <c r="H86" s="290"/>
      <c r="L86" s="118">
        <v>0.1</v>
      </c>
      <c r="M86" s="112">
        <v>1</v>
      </c>
      <c r="N86" s="222">
        <f>L86*M86</f>
        <v>0.1</v>
      </c>
      <c r="O86" s="290"/>
      <c r="S86" s="118">
        <v>0.1</v>
      </c>
      <c r="T86" s="112">
        <v>1</v>
      </c>
      <c r="U86" s="222">
        <f>S86*T86</f>
        <v>0.1</v>
      </c>
      <c r="V86" s="290"/>
      <c r="Z86" s="118">
        <v>0.1</v>
      </c>
      <c r="AA86" s="112">
        <v>1</v>
      </c>
      <c r="AB86" s="222">
        <f>Z86*AA86</f>
        <v>0.1</v>
      </c>
      <c r="AC86" s="290"/>
      <c r="AG86" s="118">
        <v>0.1</v>
      </c>
      <c r="AH86" s="112">
        <v>1</v>
      </c>
      <c r="AI86" s="222">
        <f>AG86*AH86</f>
        <v>0.1</v>
      </c>
      <c r="AJ86" s="290"/>
      <c r="AN86" s="118">
        <v>0.1</v>
      </c>
      <c r="AO86" s="112">
        <v>1</v>
      </c>
      <c r="AP86" s="222">
        <f>AN86*AO86</f>
        <v>0.1</v>
      </c>
      <c r="AQ86" s="290"/>
      <c r="AU86" s="118">
        <v>0.1</v>
      </c>
      <c r="AV86" s="112">
        <v>1</v>
      </c>
      <c r="AW86" s="222">
        <f>AU86*AV86</f>
        <v>0.1</v>
      </c>
      <c r="AX86" s="290"/>
      <c r="AY86" s="155"/>
      <c r="AZ86" s="157"/>
      <c r="BA86" s="148"/>
      <c r="BD86" s="118">
        <v>0.1</v>
      </c>
      <c r="BE86" s="112">
        <v>1</v>
      </c>
      <c r="BF86" s="222">
        <f>BD86*BE86</f>
        <v>0.1</v>
      </c>
      <c r="BG86" s="290"/>
    </row>
    <row r="87" spans="1:59" x14ac:dyDescent="0.2">
      <c r="A87" s="96"/>
      <c r="B87" s="96"/>
      <c r="C87" s="97"/>
      <c r="D87" s="96"/>
      <c r="E87" s="106"/>
      <c r="F87" s="111"/>
      <c r="G87" s="138"/>
      <c r="H87" s="141"/>
      <c r="L87" s="106"/>
      <c r="M87" s="111"/>
      <c r="N87" s="138"/>
      <c r="O87" s="141"/>
      <c r="S87" s="106"/>
      <c r="T87" s="176"/>
      <c r="U87" s="138"/>
      <c r="V87" s="141"/>
      <c r="Z87" s="106"/>
      <c r="AA87" s="111"/>
      <c r="AB87" s="138"/>
      <c r="AC87" s="141"/>
      <c r="AG87" s="106"/>
      <c r="AH87" s="176"/>
      <c r="AI87" s="138"/>
      <c r="AJ87" s="141"/>
      <c r="AN87" s="106"/>
      <c r="AO87" s="176"/>
      <c r="AP87" s="138"/>
      <c r="AQ87" s="141"/>
      <c r="AU87" s="106"/>
      <c r="AV87" s="176"/>
      <c r="AW87" s="138"/>
      <c r="AX87" s="141"/>
      <c r="AY87" s="102"/>
      <c r="AZ87" s="102"/>
      <c r="BA87" s="159"/>
      <c r="BD87" s="106"/>
      <c r="BE87" s="176"/>
      <c r="BF87" s="138"/>
      <c r="BG87" s="141"/>
    </row>
    <row r="88" spans="1:59" x14ac:dyDescent="0.2">
      <c r="A88" s="96"/>
      <c r="B88" s="96"/>
      <c r="C88" s="97"/>
      <c r="D88" s="96"/>
      <c r="E88" s="106"/>
      <c r="F88" s="228">
        <f>F89+E89</f>
        <v>30</v>
      </c>
      <c r="G88" s="138"/>
      <c r="H88" s="141"/>
      <c r="L88" s="106"/>
      <c r="M88" s="228">
        <f>M89+L89</f>
        <v>30</v>
      </c>
      <c r="N88" s="138"/>
      <c r="O88" s="141"/>
      <c r="S88" s="106"/>
      <c r="T88" s="228">
        <f>T89+S89</f>
        <v>20</v>
      </c>
      <c r="U88" s="175"/>
      <c r="V88" s="141"/>
      <c r="Z88" s="106"/>
      <c r="AA88" s="228">
        <f>AA89+Z89</f>
        <v>20</v>
      </c>
      <c r="AB88" s="175"/>
      <c r="AC88" s="141"/>
      <c r="AG88" s="106"/>
      <c r="AH88" s="228">
        <f>AH89+AG89</f>
        <v>30</v>
      </c>
      <c r="AI88" s="175"/>
      <c r="AJ88" s="141"/>
      <c r="AN88" s="106"/>
      <c r="AO88" s="228">
        <f>AO89+AN89</f>
        <v>30</v>
      </c>
      <c r="AP88" s="175"/>
      <c r="AQ88" s="141"/>
      <c r="AU88" s="106"/>
      <c r="AV88" s="228">
        <f>AV89+AU89</f>
        <v>30</v>
      </c>
      <c r="AW88" s="175"/>
      <c r="AX88" s="141"/>
      <c r="AY88" s="102"/>
      <c r="AZ88" s="102"/>
      <c r="BA88" s="159"/>
      <c r="BD88" s="106"/>
      <c r="BE88" s="228">
        <f>BE89+BD89</f>
        <v>20</v>
      </c>
      <c r="BF88" s="175"/>
      <c r="BG88" s="141"/>
    </row>
    <row r="89" spans="1:59" x14ac:dyDescent="0.2">
      <c r="A89" s="250" t="s">
        <v>202</v>
      </c>
      <c r="B89" s="96"/>
      <c r="C89" s="251"/>
      <c r="D89" s="116" t="s">
        <v>119</v>
      </c>
      <c r="E89" s="107">
        <v>30</v>
      </c>
      <c r="F89" s="109">
        <v>0</v>
      </c>
      <c r="G89" s="122">
        <f>IF(F88&lt;=20,20,IF(F88&lt;=25,25,IF(F88&gt;25,30,30)))</f>
        <v>30</v>
      </c>
      <c r="H89" s="141"/>
      <c r="L89" s="107">
        <v>30</v>
      </c>
      <c r="M89" s="109">
        <v>0</v>
      </c>
      <c r="N89" s="122">
        <f>IF(M88&lt;=20,20,IF(M88&lt;=25,25,IF(M88&gt;25,30,30)))</f>
        <v>30</v>
      </c>
      <c r="O89" s="141"/>
      <c r="S89" s="107">
        <v>20</v>
      </c>
      <c r="T89" s="109">
        <v>0</v>
      </c>
      <c r="U89" s="122">
        <f>IF(T88&lt;=20,20,IF(T88&lt;=25,25,IF(T88&gt;25,30,30)))</f>
        <v>20</v>
      </c>
      <c r="V89" s="141"/>
      <c r="Z89" s="107">
        <v>20</v>
      </c>
      <c r="AA89" s="109">
        <v>0</v>
      </c>
      <c r="AB89" s="122">
        <f>IF(AA88&lt;=20,20,IF(AA88&lt;=25,25,IF(AA88&gt;25,30,30)))</f>
        <v>20</v>
      </c>
      <c r="AC89" s="141"/>
      <c r="AG89" s="107">
        <v>30</v>
      </c>
      <c r="AH89" s="109">
        <v>0</v>
      </c>
      <c r="AI89" s="122">
        <f>IF(AH88&lt;=20,20,IF(AH88&lt;=25,25,IF(AH88&gt;25,30,30)))</f>
        <v>30</v>
      </c>
      <c r="AJ89" s="141"/>
      <c r="AN89" s="107">
        <v>30</v>
      </c>
      <c r="AO89" s="109">
        <v>0</v>
      </c>
      <c r="AP89" s="122">
        <f>IF(AO88&lt;=20,20,IF(AO88&lt;=25,25,IF(AO88&gt;25,30,30)))</f>
        <v>30</v>
      </c>
      <c r="AQ89" s="141"/>
      <c r="AU89" s="107">
        <v>30</v>
      </c>
      <c r="AV89" s="109">
        <v>0</v>
      </c>
      <c r="AW89" s="122">
        <f>IF(AV88&lt;=20,20,IF(AV88&lt;=25,25,IF(AV88&gt;25,30,30)))</f>
        <v>30</v>
      </c>
      <c r="AX89" s="141"/>
      <c r="AY89" s="161"/>
      <c r="AZ89" s="161"/>
      <c r="BA89" s="157"/>
      <c r="BD89" s="107">
        <v>20</v>
      </c>
      <c r="BE89" s="109">
        <v>0</v>
      </c>
      <c r="BF89" s="122">
        <f>IF(BE88&lt;=20,20,IF(BE88&lt;=25,25,IF(BE88&gt;25,30,30)))</f>
        <v>20</v>
      </c>
      <c r="BG89" s="141"/>
    </row>
    <row r="90" spans="1:59" x14ac:dyDescent="0.2">
      <c r="E90" s="106"/>
      <c r="F90" s="111"/>
      <c r="G90" s="175"/>
      <c r="H90" s="141"/>
      <c r="L90" s="106"/>
      <c r="M90" s="111"/>
      <c r="N90" s="175"/>
      <c r="O90" s="141"/>
      <c r="S90" s="106"/>
      <c r="T90" s="111"/>
      <c r="U90" s="175"/>
      <c r="V90" s="141"/>
      <c r="Z90" s="106"/>
      <c r="AA90" s="111"/>
      <c r="AB90" s="175"/>
      <c r="AC90" s="141"/>
      <c r="AG90" s="106"/>
      <c r="AH90" s="111"/>
      <c r="AI90" s="175"/>
      <c r="AJ90" s="141"/>
      <c r="AN90" s="106"/>
      <c r="AO90" s="111"/>
      <c r="AP90" s="175"/>
      <c r="AQ90" s="141"/>
      <c r="AU90" s="106"/>
      <c r="AV90" s="111"/>
      <c r="AW90" s="175"/>
      <c r="AX90" s="141"/>
      <c r="AY90" s="161"/>
      <c r="AZ90" s="161"/>
      <c r="BA90" s="159"/>
      <c r="BD90" s="106"/>
      <c r="BE90" s="111"/>
      <c r="BF90" s="175"/>
      <c r="BG90" s="141"/>
    </row>
    <row r="91" spans="1:59" x14ac:dyDescent="0.2">
      <c r="A91" s="250" t="s">
        <v>111</v>
      </c>
      <c r="B91" s="96"/>
      <c r="C91" s="97"/>
      <c r="D91" s="96"/>
      <c r="E91" s="106"/>
      <c r="F91" s="111"/>
      <c r="G91" s="175"/>
      <c r="H91" s="141"/>
      <c r="L91" s="106"/>
      <c r="M91" s="111"/>
      <c r="N91" s="175"/>
      <c r="O91" s="141"/>
      <c r="S91" s="106"/>
      <c r="T91" s="111"/>
      <c r="U91" s="175"/>
      <c r="V91" s="141"/>
      <c r="Z91" s="106"/>
      <c r="AA91" s="111"/>
      <c r="AB91" s="175"/>
      <c r="AC91" s="141"/>
      <c r="AG91" s="106"/>
      <c r="AH91" s="111"/>
      <c r="AI91" s="175"/>
      <c r="AJ91" s="141"/>
      <c r="AN91" s="106"/>
      <c r="AO91" s="111"/>
      <c r="AP91" s="175"/>
      <c r="AQ91" s="141"/>
      <c r="AU91" s="106"/>
      <c r="AV91" s="111"/>
      <c r="AW91" s="175"/>
      <c r="AX91" s="141"/>
      <c r="AY91" s="161"/>
      <c r="AZ91" s="161"/>
      <c r="BA91" s="159"/>
      <c r="BD91" s="106"/>
      <c r="BE91" s="111"/>
      <c r="BF91" s="175"/>
      <c r="BG91" s="141"/>
    </row>
    <row r="92" spans="1:59" x14ac:dyDescent="0.2">
      <c r="A92" s="96"/>
      <c r="B92" s="96"/>
      <c r="C92" s="97"/>
      <c r="D92" s="96"/>
      <c r="E92" s="106"/>
      <c r="F92" s="111"/>
      <c r="G92" s="175"/>
      <c r="H92" s="141"/>
      <c r="L92" s="106"/>
      <c r="M92" s="111"/>
      <c r="N92" s="175"/>
      <c r="O92" s="141"/>
      <c r="S92" s="106"/>
      <c r="T92" s="111"/>
      <c r="U92" s="175"/>
      <c r="V92" s="141"/>
      <c r="Z92" s="106"/>
      <c r="AA92" s="111"/>
      <c r="AB92" s="175"/>
      <c r="AC92" s="141"/>
      <c r="AG92" s="106"/>
      <c r="AH92" s="111"/>
      <c r="AI92" s="175"/>
      <c r="AJ92" s="141"/>
      <c r="AN92" s="106"/>
      <c r="AO92" s="111"/>
      <c r="AP92" s="175"/>
      <c r="AQ92" s="141"/>
      <c r="AU92" s="106"/>
      <c r="AV92" s="111"/>
      <c r="AW92" s="175"/>
      <c r="AX92" s="141"/>
      <c r="AY92" s="161"/>
      <c r="AZ92" s="161"/>
      <c r="BA92" s="159"/>
      <c r="BD92" s="106"/>
      <c r="BE92" s="111"/>
      <c r="BF92" s="175"/>
      <c r="BG92" s="141"/>
    </row>
    <row r="93" spans="1:59" x14ac:dyDescent="0.2">
      <c r="A93" s="250" t="s">
        <v>115</v>
      </c>
      <c r="B93" s="96"/>
      <c r="C93" s="97"/>
      <c r="D93" s="96"/>
      <c r="E93" s="123"/>
      <c r="F93" s="124"/>
      <c r="G93" s="122">
        <v>2012</v>
      </c>
      <c r="H93" s="141"/>
      <c r="L93" s="123"/>
      <c r="M93" s="124"/>
      <c r="N93" s="122">
        <v>2012</v>
      </c>
      <c r="O93" s="141"/>
      <c r="S93" s="123"/>
      <c r="T93" s="124"/>
      <c r="U93" s="122">
        <v>2012</v>
      </c>
      <c r="V93" s="141"/>
      <c r="Z93" s="123"/>
      <c r="AA93" s="124"/>
      <c r="AB93" s="122">
        <v>2012</v>
      </c>
      <c r="AC93" s="141"/>
      <c r="AG93" s="123"/>
      <c r="AH93" s="124"/>
      <c r="AI93" s="122">
        <v>2012</v>
      </c>
      <c r="AJ93" s="141"/>
      <c r="AN93" s="123"/>
      <c r="AO93" s="124"/>
      <c r="AP93" s="122">
        <v>2012</v>
      </c>
      <c r="AQ93" s="141"/>
      <c r="AU93" s="123"/>
      <c r="AV93" s="124"/>
      <c r="AW93" s="122">
        <v>2012</v>
      </c>
      <c r="AX93" s="141"/>
      <c r="AY93" s="161"/>
      <c r="AZ93" s="161"/>
      <c r="BA93" s="157"/>
      <c r="BD93" s="123"/>
      <c r="BE93" s="124"/>
      <c r="BF93" s="122">
        <v>2012</v>
      </c>
      <c r="BG93" s="141"/>
    </row>
    <row r="94" spans="1:59" x14ac:dyDescent="0.2">
      <c r="A94" s="96"/>
      <c r="B94" s="96"/>
      <c r="C94" s="97"/>
      <c r="D94" s="96"/>
      <c r="E94" s="106"/>
      <c r="F94" s="111"/>
      <c r="G94" s="138"/>
      <c r="H94" s="141"/>
      <c r="L94" s="106"/>
      <c r="M94" s="111"/>
      <c r="N94" s="175"/>
      <c r="O94" s="141"/>
      <c r="S94" s="106"/>
      <c r="T94" s="111"/>
      <c r="U94" s="138"/>
      <c r="V94" s="141"/>
      <c r="Z94" s="106"/>
      <c r="AA94" s="111"/>
      <c r="AB94" s="138"/>
      <c r="AC94" s="141"/>
      <c r="AG94" s="106"/>
      <c r="AH94" s="111"/>
      <c r="AI94" s="175"/>
      <c r="AJ94" s="141"/>
      <c r="AN94" s="106"/>
      <c r="AO94" s="111"/>
      <c r="AP94" s="138"/>
      <c r="AQ94" s="141"/>
      <c r="AU94" s="106"/>
      <c r="AV94" s="111"/>
      <c r="AW94" s="138"/>
      <c r="AX94" s="141"/>
      <c r="AY94" s="161"/>
      <c r="AZ94" s="161"/>
      <c r="BA94" s="159"/>
      <c r="BD94" s="106"/>
      <c r="BE94" s="111"/>
      <c r="BF94" s="138"/>
      <c r="BG94" s="141"/>
    </row>
    <row r="95" spans="1:59" x14ac:dyDescent="0.2">
      <c r="A95" s="250" t="s">
        <v>15</v>
      </c>
      <c r="B95" s="96"/>
      <c r="C95" s="97"/>
      <c r="D95" s="96"/>
      <c r="E95" s="106"/>
      <c r="F95" s="111"/>
      <c r="G95" s="138"/>
      <c r="H95" s="141"/>
      <c r="L95" s="106"/>
      <c r="M95" s="111"/>
      <c r="N95" s="138"/>
      <c r="O95" s="141"/>
      <c r="S95" s="106"/>
      <c r="T95" s="111"/>
      <c r="U95" s="138"/>
      <c r="V95" s="141"/>
      <c r="Z95" s="106"/>
      <c r="AA95" s="111"/>
      <c r="AB95" s="138"/>
      <c r="AC95" s="141"/>
      <c r="AG95" s="106"/>
      <c r="AH95" s="111"/>
      <c r="AI95" s="138"/>
      <c r="AJ95" s="141"/>
      <c r="AN95" s="106"/>
      <c r="AO95" s="111"/>
      <c r="AP95" s="138"/>
      <c r="AQ95" s="141"/>
      <c r="AU95" s="106"/>
      <c r="AV95" s="111"/>
      <c r="AW95" s="138"/>
      <c r="AX95" s="141"/>
      <c r="AY95" s="161"/>
      <c r="AZ95" s="161"/>
      <c r="BA95" s="159"/>
      <c r="BD95" s="106"/>
      <c r="BE95" s="111"/>
      <c r="BF95" s="138"/>
      <c r="BG95" s="141"/>
    </row>
    <row r="96" spans="1:59" x14ac:dyDescent="0.2">
      <c r="A96" s="96"/>
      <c r="B96" s="96" t="s">
        <v>116</v>
      </c>
      <c r="C96" s="97"/>
      <c r="D96" s="96"/>
      <c r="E96" s="123"/>
      <c r="F96" s="124"/>
      <c r="G96" s="119">
        <v>0.25</v>
      </c>
      <c r="H96" s="141"/>
      <c r="L96" s="123"/>
      <c r="M96" s="124"/>
      <c r="N96" s="119">
        <v>0.25</v>
      </c>
      <c r="O96" s="141"/>
      <c r="S96" s="123"/>
      <c r="T96" s="124"/>
      <c r="U96" s="119">
        <v>0.25</v>
      </c>
      <c r="V96" s="141"/>
      <c r="Z96" s="123"/>
      <c r="AA96" s="124"/>
      <c r="AB96" s="119">
        <v>0.25</v>
      </c>
      <c r="AC96" s="141"/>
      <c r="AG96" s="123"/>
      <c r="AH96" s="124"/>
      <c r="AI96" s="119">
        <v>0.25</v>
      </c>
      <c r="AJ96" s="141"/>
      <c r="AN96" s="123"/>
      <c r="AO96" s="124"/>
      <c r="AP96" s="119">
        <v>0.25</v>
      </c>
      <c r="AQ96" s="141"/>
      <c r="AU96" s="123"/>
      <c r="AV96" s="124"/>
      <c r="AW96" s="119">
        <v>0.25</v>
      </c>
      <c r="AX96" s="141"/>
      <c r="AY96" s="161"/>
      <c r="AZ96" s="161"/>
      <c r="BA96" s="156"/>
      <c r="BD96" s="123"/>
      <c r="BE96" s="124"/>
      <c r="BF96" s="119">
        <v>0.25</v>
      </c>
      <c r="BG96" s="141"/>
    </row>
    <row r="97" spans="1:59" x14ac:dyDescent="0.2">
      <c r="A97" s="96"/>
      <c r="B97" s="96" t="s">
        <v>117</v>
      </c>
      <c r="C97" s="97"/>
      <c r="D97" s="96"/>
      <c r="E97" s="123"/>
      <c r="F97" s="124"/>
      <c r="G97" s="119">
        <v>0.45</v>
      </c>
      <c r="H97" s="141"/>
      <c r="L97" s="123"/>
      <c r="M97" s="124"/>
      <c r="N97" s="119">
        <v>0.45</v>
      </c>
      <c r="O97" s="141"/>
      <c r="S97" s="123"/>
      <c r="T97" s="124"/>
      <c r="U97" s="119">
        <v>0.45</v>
      </c>
      <c r="V97" s="141"/>
      <c r="Z97" s="123"/>
      <c r="AA97" s="124"/>
      <c r="AB97" s="119">
        <v>0.45</v>
      </c>
      <c r="AC97" s="141"/>
      <c r="AG97" s="123"/>
      <c r="AH97" s="124"/>
      <c r="AI97" s="119">
        <v>0.45</v>
      </c>
      <c r="AJ97" s="141"/>
      <c r="AN97" s="123"/>
      <c r="AO97" s="124"/>
      <c r="AP97" s="119">
        <v>0.45</v>
      </c>
      <c r="AQ97" s="141"/>
      <c r="AU97" s="123"/>
      <c r="AV97" s="124"/>
      <c r="AW97" s="119">
        <v>0.45</v>
      </c>
      <c r="AX97" s="141"/>
      <c r="AY97" s="161"/>
      <c r="AZ97" s="161"/>
      <c r="BA97" s="156"/>
      <c r="BD97" s="123"/>
      <c r="BE97" s="124"/>
      <c r="BF97" s="119">
        <v>0.45</v>
      </c>
      <c r="BG97" s="141"/>
    </row>
    <row r="98" spans="1:59" x14ac:dyDescent="0.2">
      <c r="A98" s="96"/>
      <c r="B98" s="96" t="s">
        <v>118</v>
      </c>
      <c r="C98" s="97"/>
      <c r="D98" s="96"/>
      <c r="E98" s="123"/>
      <c r="F98" s="124"/>
      <c r="G98" s="119">
        <v>0.3</v>
      </c>
      <c r="H98" s="141"/>
      <c r="L98" s="123"/>
      <c r="M98" s="124"/>
      <c r="N98" s="119">
        <v>0.3</v>
      </c>
      <c r="O98" s="141"/>
      <c r="S98" s="123"/>
      <c r="T98" s="124"/>
      <c r="U98" s="119">
        <v>0.3</v>
      </c>
      <c r="V98" s="141"/>
      <c r="Z98" s="123"/>
      <c r="AA98" s="124"/>
      <c r="AB98" s="119">
        <v>0.3</v>
      </c>
      <c r="AC98" s="141"/>
      <c r="AG98" s="123"/>
      <c r="AH98" s="124"/>
      <c r="AI98" s="119">
        <v>0.3</v>
      </c>
      <c r="AJ98" s="141"/>
      <c r="AN98" s="123"/>
      <c r="AO98" s="124"/>
      <c r="AP98" s="119">
        <v>0.3</v>
      </c>
      <c r="AQ98" s="141"/>
      <c r="AU98" s="123"/>
      <c r="AV98" s="124"/>
      <c r="AW98" s="119">
        <v>0.3</v>
      </c>
      <c r="AX98" s="141"/>
      <c r="AY98" s="161"/>
      <c r="AZ98" s="161"/>
      <c r="BA98" s="156"/>
      <c r="BD98" s="123"/>
      <c r="BE98" s="124"/>
      <c r="BF98" s="119">
        <v>0.3</v>
      </c>
      <c r="BG98" s="141"/>
    </row>
    <row r="99" spans="1:59" x14ac:dyDescent="0.2">
      <c r="E99" s="106"/>
      <c r="F99" s="111"/>
      <c r="G99" s="138"/>
      <c r="H99" s="141"/>
      <c r="L99" s="106"/>
      <c r="M99" s="111"/>
      <c r="N99" s="138"/>
      <c r="O99" s="141"/>
      <c r="S99" s="106"/>
      <c r="T99" s="111"/>
      <c r="U99" s="138"/>
      <c r="V99" s="141"/>
      <c r="Z99" s="106"/>
      <c r="AA99" s="111"/>
      <c r="AB99" s="138"/>
      <c r="AC99" s="141"/>
      <c r="AG99" s="106"/>
      <c r="AH99" s="111"/>
      <c r="AI99" s="138"/>
      <c r="AJ99" s="141"/>
      <c r="AN99" s="106"/>
      <c r="AO99" s="111"/>
      <c r="AP99" s="138"/>
      <c r="AQ99" s="141"/>
      <c r="AU99" s="106"/>
      <c r="AV99" s="111"/>
      <c r="AW99" s="138"/>
      <c r="AX99" s="141"/>
      <c r="AY99" s="161"/>
      <c r="AZ99" s="161"/>
      <c r="BA99" s="159"/>
      <c r="BD99" s="106"/>
      <c r="BE99" s="111"/>
      <c r="BF99" s="138"/>
      <c r="BG99" s="141"/>
    </row>
    <row r="100" spans="1:59" ht="28.5" customHeight="1" x14ac:dyDescent="0.2">
      <c r="A100" s="250" t="s">
        <v>141</v>
      </c>
      <c r="B100" s="96"/>
      <c r="C100" s="252"/>
      <c r="D100" s="253"/>
      <c r="E100" s="300" t="s">
        <v>140</v>
      </c>
      <c r="F100" s="301"/>
      <c r="G100" s="294" t="s">
        <v>139</v>
      </c>
      <c r="H100" s="295"/>
      <c r="L100" s="300" t="s">
        <v>140</v>
      </c>
      <c r="M100" s="301"/>
      <c r="N100" s="294" t="s">
        <v>139</v>
      </c>
      <c r="O100" s="295"/>
      <c r="S100" s="77" t="s">
        <v>140</v>
      </c>
      <c r="T100" s="145" t="s">
        <v>139</v>
      </c>
      <c r="U100" s="162"/>
      <c r="V100" s="141"/>
      <c r="Z100" s="77" t="s">
        <v>140</v>
      </c>
      <c r="AA100" s="145" t="s">
        <v>139</v>
      </c>
      <c r="AB100" s="162"/>
      <c r="AC100" s="141"/>
      <c r="AG100" s="77" t="s">
        <v>140</v>
      </c>
      <c r="AH100" s="145" t="s">
        <v>139</v>
      </c>
      <c r="AI100" s="162"/>
      <c r="AJ100" s="141"/>
      <c r="AN100" s="77" t="s">
        <v>140</v>
      </c>
      <c r="AO100" s="145" t="s">
        <v>139</v>
      </c>
      <c r="AP100" s="162"/>
      <c r="AQ100" s="141"/>
      <c r="AU100" s="77" t="s">
        <v>140</v>
      </c>
      <c r="AV100" s="145" t="s">
        <v>139</v>
      </c>
      <c r="AW100" s="162"/>
      <c r="AX100" s="141"/>
      <c r="AY100" s="292"/>
      <c r="AZ100" s="293"/>
      <c r="BA100" s="78"/>
      <c r="BD100" s="77" t="s">
        <v>140</v>
      </c>
      <c r="BE100" s="145" t="s">
        <v>139</v>
      </c>
      <c r="BF100" s="162"/>
      <c r="BG100" s="141"/>
    </row>
    <row r="101" spans="1:59" ht="26.25" thickBot="1" x14ac:dyDescent="0.25">
      <c r="A101" s="250"/>
      <c r="B101" s="252"/>
      <c r="C101" s="254"/>
      <c r="D101" s="255"/>
      <c r="E101" s="129" t="s">
        <v>143</v>
      </c>
      <c r="F101" s="144" t="s">
        <v>134</v>
      </c>
      <c r="G101" s="143" t="s">
        <v>143</v>
      </c>
      <c r="H101" s="142" t="s">
        <v>134</v>
      </c>
      <c r="L101" s="129" t="s">
        <v>143</v>
      </c>
      <c r="M101" s="144" t="s">
        <v>134</v>
      </c>
      <c r="N101" s="143" t="s">
        <v>143</v>
      </c>
      <c r="O101" s="142" t="s">
        <v>134</v>
      </c>
      <c r="S101" s="129"/>
      <c r="T101" s="144"/>
      <c r="U101" s="163"/>
      <c r="V101" s="141"/>
      <c r="Z101" s="129"/>
      <c r="AA101" s="144"/>
      <c r="AB101" s="163"/>
      <c r="AC101" s="141"/>
      <c r="AG101" s="129"/>
      <c r="AH101" s="144"/>
      <c r="AI101" s="163"/>
      <c r="AJ101" s="141"/>
      <c r="AN101" s="129"/>
      <c r="AO101" s="144"/>
      <c r="AP101" s="163"/>
      <c r="AQ101" s="141"/>
      <c r="AU101" s="129"/>
      <c r="AV101" s="144"/>
      <c r="AW101" s="163"/>
      <c r="AX101" s="141"/>
      <c r="AY101" s="160"/>
      <c r="AZ101" s="160"/>
      <c r="BA101" s="78"/>
      <c r="BD101" s="129"/>
      <c r="BE101" s="144"/>
      <c r="BF101" s="163"/>
      <c r="BG101" s="141"/>
    </row>
    <row r="102" spans="1:59" x14ac:dyDescent="0.2">
      <c r="A102" s="96"/>
      <c r="B102" s="96"/>
      <c r="C102" s="256" t="str">
        <f xml:space="preserve"> IF(G89&gt;1, IF(G89&gt;10,"Year 1",""),"")</f>
        <v>Year 1</v>
      </c>
      <c r="D102" s="257">
        <f>IF(C102="Year 1",G93,"")</f>
        <v>2012</v>
      </c>
      <c r="E102" s="233">
        <v>1</v>
      </c>
      <c r="F102" s="233">
        <v>1</v>
      </c>
      <c r="G102" s="130">
        <v>0.65</v>
      </c>
      <c r="H102" s="120">
        <v>0.65</v>
      </c>
      <c r="I102" s="1" t="str">
        <f>IF(F102*H102&gt;E102*G102,"PI (LFxA) &gt; H2 (LFx A)"," ")</f>
        <v xml:space="preserve"> </v>
      </c>
      <c r="J102" s="260" t="str">
        <f xml:space="preserve"> IF(N89&gt;1, IF(N89&gt;10,"Year 1",""),"")</f>
        <v>Year 1</v>
      </c>
      <c r="K102" s="261">
        <f>IF(J102="Year 1",N93,"")</f>
        <v>2012</v>
      </c>
      <c r="L102" s="233">
        <v>1</v>
      </c>
      <c r="M102" s="233">
        <v>1</v>
      </c>
      <c r="N102" s="130">
        <v>0.65</v>
      </c>
      <c r="O102" s="120">
        <v>0.65</v>
      </c>
      <c r="P102" s="1" t="str">
        <f>IF(M102*O102&gt;L102*N102,"PI (LFxA) &gt; H2 (LFx A)"," ")</f>
        <v xml:space="preserve"> </v>
      </c>
      <c r="Q102" s="260" t="str">
        <f xml:space="preserve"> IF(U89&gt;1, IF(U89&gt;10,"Year 1",""),"")</f>
        <v>Year 1</v>
      </c>
      <c r="R102" s="261">
        <f>IF(Q102="Year 1",U93,"")</f>
        <v>2012</v>
      </c>
      <c r="S102" s="239">
        <v>1</v>
      </c>
      <c r="T102" s="121">
        <v>0.65</v>
      </c>
      <c r="U102" s="164"/>
      <c r="V102" s="141"/>
      <c r="X102" s="260" t="str">
        <f xml:space="preserve"> IF(AB89&gt;1, IF(AB89&gt;10,"Year 1",""),"")</f>
        <v>Year 1</v>
      </c>
      <c r="Y102" s="261">
        <f>IF(X102="Year 1",AB93,"")</f>
        <v>2012</v>
      </c>
      <c r="Z102" s="239">
        <v>1</v>
      </c>
      <c r="AA102" s="121">
        <v>0.65</v>
      </c>
      <c r="AB102" s="164"/>
      <c r="AC102" s="141"/>
      <c r="AE102" s="260" t="str">
        <f xml:space="preserve"> IF(AI89&gt;1, IF(AI89&gt;10,"Year 1",""),"")</f>
        <v>Year 1</v>
      </c>
      <c r="AF102" s="261">
        <f>IF(AE102="Year 1",AI93,"")</f>
        <v>2012</v>
      </c>
      <c r="AG102" s="239">
        <v>1</v>
      </c>
      <c r="AH102" s="121">
        <v>0.65</v>
      </c>
      <c r="AI102" s="164"/>
      <c r="AJ102" s="141"/>
      <c r="AL102" s="260" t="str">
        <f xml:space="preserve"> IF(AP89&gt;1, IF(AP89&gt;10,"Year 1",""),"")</f>
        <v>Year 1</v>
      </c>
      <c r="AM102" s="261">
        <f>IF(AL102="Year 1",AP93,"")</f>
        <v>2012</v>
      </c>
      <c r="AN102" s="239">
        <v>1</v>
      </c>
      <c r="AO102" s="121">
        <v>0.65</v>
      </c>
      <c r="AP102" s="164"/>
      <c r="AQ102" s="141"/>
      <c r="AS102" s="260" t="str">
        <f xml:space="preserve"> IF(AW89&gt;1, IF(AW89&gt;10,"Year 1",""),"")</f>
        <v>Year 1</v>
      </c>
      <c r="AT102" s="261">
        <f>IF(AS102="Year 1",AW93,"")</f>
        <v>2012</v>
      </c>
      <c r="AU102" s="239">
        <v>1</v>
      </c>
      <c r="AV102" s="121">
        <v>0.65</v>
      </c>
      <c r="AW102" s="164"/>
      <c r="AX102" s="141"/>
      <c r="AY102" s="155"/>
      <c r="AZ102" s="155"/>
      <c r="BA102" s="155"/>
      <c r="BB102" s="260" t="str">
        <f xml:space="preserve"> IF(BF89&gt;1, IF(BF89&gt;10,"Year 1",""),"")</f>
        <v>Year 1</v>
      </c>
      <c r="BC102" s="261">
        <f>IF(BB102="Year 1",BF93,"")</f>
        <v>2012</v>
      </c>
      <c r="BD102" s="239">
        <v>1</v>
      </c>
      <c r="BE102" s="121">
        <v>0.65</v>
      </c>
      <c r="BF102" s="164"/>
      <c r="BG102" s="141"/>
    </row>
    <row r="103" spans="1:59" x14ac:dyDescent="0.2">
      <c r="A103" s="96"/>
      <c r="B103" s="96"/>
      <c r="C103" s="258" t="str">
        <f xml:space="preserve"> IF(G89&gt;1, IF(G89&gt;10,"Year 2",""),"")</f>
        <v>Year 2</v>
      </c>
      <c r="D103" s="253">
        <f>IF(C103="Year 2",D102+1,"")</f>
        <v>2013</v>
      </c>
      <c r="E103" s="234">
        <v>1</v>
      </c>
      <c r="F103" s="234">
        <v>1</v>
      </c>
      <c r="G103" s="131">
        <v>0.75</v>
      </c>
      <c r="H103" s="122">
        <v>0.75</v>
      </c>
      <c r="I103" s="1" t="str">
        <f t="shared" ref="I103:I132" si="13">IF(F103*H103&gt;E103*G103,"PI (LFxA) &gt; H2 (LFx A)"," ")</f>
        <v xml:space="preserve"> </v>
      </c>
      <c r="J103" s="262" t="str">
        <f xml:space="preserve"> IF(N89&gt;1, IF(N89&gt;10,"Year 2",""),"")</f>
        <v>Year 2</v>
      </c>
      <c r="K103" s="263">
        <f>IF(J103="Year 2",K102+1,"")</f>
        <v>2013</v>
      </c>
      <c r="L103" s="234">
        <v>1</v>
      </c>
      <c r="M103" s="234">
        <v>1</v>
      </c>
      <c r="N103" s="131">
        <v>0.75</v>
      </c>
      <c r="O103" s="122">
        <v>0.75</v>
      </c>
      <c r="P103" s="1" t="str">
        <f t="shared" ref="P103:P132" si="14">IF(M103*O103&gt;L103*N103,"PI (LFxA) &gt; H2 (LFx A)"," ")</f>
        <v xml:space="preserve"> </v>
      </c>
      <c r="Q103" s="262" t="str">
        <f xml:space="preserve"> IF(U89&gt;1, IF(U89&gt;10,"Year 2",""),"")</f>
        <v>Year 2</v>
      </c>
      <c r="R103" s="263">
        <f>IF(Q103="Year 2",R102+1,"")</f>
        <v>2013</v>
      </c>
      <c r="S103" s="240">
        <v>1</v>
      </c>
      <c r="T103" s="112">
        <v>0.75</v>
      </c>
      <c r="U103" s="165"/>
      <c r="V103" s="141"/>
      <c r="X103" s="262" t="str">
        <f xml:space="preserve"> IF(AB89&gt;1, IF(AB89&gt;10,"Year 2",""),"")</f>
        <v>Year 2</v>
      </c>
      <c r="Y103" s="263">
        <f>IF(X103="Year 2",Y102+1,"")</f>
        <v>2013</v>
      </c>
      <c r="Z103" s="240">
        <v>1</v>
      </c>
      <c r="AA103" s="112">
        <v>0.75</v>
      </c>
      <c r="AB103" s="165"/>
      <c r="AC103" s="141"/>
      <c r="AE103" s="262" t="str">
        <f xml:space="preserve"> IF(AI89&gt;1, IF(AI89&gt;10,"Year 2",""),"")</f>
        <v>Year 2</v>
      </c>
      <c r="AF103" s="263">
        <f>IF(AE103="Year 2",AF102+1,"")</f>
        <v>2013</v>
      </c>
      <c r="AG103" s="240">
        <v>1</v>
      </c>
      <c r="AH103" s="112">
        <v>0.75</v>
      </c>
      <c r="AI103" s="165"/>
      <c r="AJ103" s="141"/>
      <c r="AL103" s="262" t="str">
        <f xml:space="preserve"> IF(AP89&gt;1, IF(AP89&gt;10,"Year 2",""),"")</f>
        <v>Year 2</v>
      </c>
      <c r="AM103" s="263">
        <f>IF(AL103="Year 2",AM102+1,"")</f>
        <v>2013</v>
      </c>
      <c r="AN103" s="240">
        <v>1</v>
      </c>
      <c r="AO103" s="112">
        <v>0.75</v>
      </c>
      <c r="AP103" s="165"/>
      <c r="AQ103" s="141"/>
      <c r="AS103" s="262" t="str">
        <f xml:space="preserve"> IF(AW89&gt;1, IF(AW89&gt;10,"Year 2",""),"")</f>
        <v>Year 2</v>
      </c>
      <c r="AT103" s="263">
        <f>IF(AS103="Year 2",AT102+1,"")</f>
        <v>2013</v>
      </c>
      <c r="AU103" s="240">
        <v>1</v>
      </c>
      <c r="AV103" s="112">
        <v>0.75</v>
      </c>
      <c r="AW103" s="165"/>
      <c r="AX103" s="141"/>
      <c r="AY103" s="155"/>
      <c r="AZ103" s="155"/>
      <c r="BA103" s="155"/>
      <c r="BB103" s="262" t="str">
        <f xml:space="preserve"> IF(BF89&gt;1, IF(BF89&gt;10,"Year 2",""),"")</f>
        <v>Year 2</v>
      </c>
      <c r="BC103" s="263">
        <f>IF(BB103="Year 2",BC102+1,"")</f>
        <v>2013</v>
      </c>
      <c r="BD103" s="240">
        <v>1</v>
      </c>
      <c r="BE103" s="112">
        <v>0.75</v>
      </c>
      <c r="BF103" s="165"/>
      <c r="BG103" s="141"/>
    </row>
    <row r="104" spans="1:59" x14ac:dyDescent="0.2">
      <c r="A104" s="96"/>
      <c r="B104" s="96"/>
      <c r="C104" s="258" t="str">
        <f xml:space="preserve"> IF(G89&gt;1, IF(G89&gt;10,"Year 3",""),"")</f>
        <v>Year 3</v>
      </c>
      <c r="D104" s="253">
        <f>IF(C104="Year 3",D103+1,"")</f>
        <v>2014</v>
      </c>
      <c r="E104" s="234">
        <v>1</v>
      </c>
      <c r="F104" s="234">
        <v>1</v>
      </c>
      <c r="G104" s="131">
        <v>0.85</v>
      </c>
      <c r="H104" s="122">
        <v>0.85</v>
      </c>
      <c r="I104" s="1" t="str">
        <f t="shared" si="13"/>
        <v xml:space="preserve"> </v>
      </c>
      <c r="J104" s="262" t="str">
        <f xml:space="preserve"> IF(N89&gt;1, IF(N89&gt;10,"Year 3",""),"")</f>
        <v>Year 3</v>
      </c>
      <c r="K104" s="263">
        <f>IF(J104="Year 3",K103+1,"")</f>
        <v>2014</v>
      </c>
      <c r="L104" s="234">
        <v>1</v>
      </c>
      <c r="M104" s="234">
        <v>1</v>
      </c>
      <c r="N104" s="131">
        <v>0.85</v>
      </c>
      <c r="O104" s="122">
        <v>0.85</v>
      </c>
      <c r="P104" s="1" t="str">
        <f t="shared" si="14"/>
        <v xml:space="preserve"> </v>
      </c>
      <c r="Q104" s="262" t="str">
        <f xml:space="preserve"> IF(U89&gt;1, IF(U89&gt;10,"Year 3",""),"")</f>
        <v>Year 3</v>
      </c>
      <c r="R104" s="263">
        <f>IF(Q104="Year 3",R103+1,"")</f>
        <v>2014</v>
      </c>
      <c r="S104" s="240">
        <v>1</v>
      </c>
      <c r="T104" s="112">
        <v>0.85</v>
      </c>
      <c r="U104" s="165"/>
      <c r="V104" s="141"/>
      <c r="X104" s="262" t="str">
        <f xml:space="preserve"> IF(AB89&gt;1, IF(AB89&gt;10,"Year 3",""),"")</f>
        <v>Year 3</v>
      </c>
      <c r="Y104" s="263">
        <f>IF(X104="Year 3",Y103+1,"")</f>
        <v>2014</v>
      </c>
      <c r="Z104" s="240">
        <v>1</v>
      </c>
      <c r="AA104" s="112">
        <v>0.85</v>
      </c>
      <c r="AB104" s="165"/>
      <c r="AC104" s="141"/>
      <c r="AE104" s="262" t="str">
        <f xml:space="preserve"> IF(AI89&gt;1, IF(AI89&gt;10,"Year 3",""),"")</f>
        <v>Year 3</v>
      </c>
      <c r="AF104" s="263">
        <f>IF(AE104="Year 3",AF103+1,"")</f>
        <v>2014</v>
      </c>
      <c r="AG104" s="240">
        <v>1</v>
      </c>
      <c r="AH104" s="112">
        <v>0.85</v>
      </c>
      <c r="AI104" s="165"/>
      <c r="AJ104" s="141"/>
      <c r="AL104" s="262" t="str">
        <f xml:space="preserve"> IF(AP89&gt;1, IF(AP89&gt;10,"Year 3",""),"")</f>
        <v>Year 3</v>
      </c>
      <c r="AM104" s="263">
        <f>IF(AL104="Year 3",AM103+1,"")</f>
        <v>2014</v>
      </c>
      <c r="AN104" s="240">
        <v>1</v>
      </c>
      <c r="AO104" s="112">
        <v>0.85</v>
      </c>
      <c r="AP104" s="165"/>
      <c r="AQ104" s="141"/>
      <c r="AS104" s="262" t="str">
        <f xml:space="preserve"> IF(AW89&gt;1, IF(AW89&gt;10,"Year 3",""),"")</f>
        <v>Year 3</v>
      </c>
      <c r="AT104" s="263">
        <f>IF(AS104="Year 3",AT103+1,"")</f>
        <v>2014</v>
      </c>
      <c r="AU104" s="240">
        <v>1</v>
      </c>
      <c r="AV104" s="112">
        <v>0.85</v>
      </c>
      <c r="AW104" s="165"/>
      <c r="AX104" s="141"/>
      <c r="AY104" s="155"/>
      <c r="AZ104" s="155"/>
      <c r="BA104" s="155"/>
      <c r="BB104" s="262" t="str">
        <f xml:space="preserve"> IF(BF89&gt;1, IF(BF89&gt;10,"Year 3",""),"")</f>
        <v>Year 3</v>
      </c>
      <c r="BC104" s="263">
        <f>IF(BB104="Year 3",BC103+1,"")</f>
        <v>2014</v>
      </c>
      <c r="BD104" s="240">
        <v>1</v>
      </c>
      <c r="BE104" s="112">
        <v>0.85</v>
      </c>
      <c r="BF104" s="165"/>
      <c r="BG104" s="141"/>
    </row>
    <row r="105" spans="1:59" x14ac:dyDescent="0.2">
      <c r="A105" s="96"/>
      <c r="B105" s="96"/>
      <c r="C105" s="258" t="str">
        <f xml:space="preserve"> IF(G89&gt;1, IF(G89&gt;10,"Year 4",""),"")</f>
        <v>Year 4</v>
      </c>
      <c r="D105" s="253">
        <f>IF(C105="Year 4",D104+1,"")</f>
        <v>2015</v>
      </c>
      <c r="E105" s="234">
        <v>1</v>
      </c>
      <c r="F105" s="234">
        <v>1</v>
      </c>
      <c r="G105" s="131">
        <v>0.85</v>
      </c>
      <c r="H105" s="122">
        <v>0.85</v>
      </c>
      <c r="I105" s="1" t="str">
        <f t="shared" si="13"/>
        <v xml:space="preserve"> </v>
      </c>
      <c r="J105" s="262" t="str">
        <f xml:space="preserve"> IF(N89&gt;1, IF(N89&gt;10,"Year 4",""),"")</f>
        <v>Year 4</v>
      </c>
      <c r="K105" s="263">
        <f>IF(J105="Year 4",K104+1,"")</f>
        <v>2015</v>
      </c>
      <c r="L105" s="234">
        <v>1</v>
      </c>
      <c r="M105" s="234">
        <v>1</v>
      </c>
      <c r="N105" s="131">
        <v>0.85</v>
      </c>
      <c r="O105" s="122">
        <v>0.85</v>
      </c>
      <c r="P105" s="1" t="str">
        <f t="shared" si="14"/>
        <v xml:space="preserve"> </v>
      </c>
      <c r="Q105" s="262" t="str">
        <f xml:space="preserve"> IF(U89&gt;1, IF(U89&gt;10,"Year 4",""),"")</f>
        <v>Year 4</v>
      </c>
      <c r="R105" s="263">
        <f>IF(Q105="Year 4",R104+1,"")</f>
        <v>2015</v>
      </c>
      <c r="S105" s="240">
        <v>1</v>
      </c>
      <c r="T105" s="112">
        <v>0.85</v>
      </c>
      <c r="U105" s="165"/>
      <c r="V105" s="141"/>
      <c r="X105" s="262" t="str">
        <f xml:space="preserve"> IF(AB89&gt;1, IF(AB89&gt;10,"Year 4",""),"")</f>
        <v>Year 4</v>
      </c>
      <c r="Y105" s="263">
        <f>IF(X105="Year 4",Y104+1,"")</f>
        <v>2015</v>
      </c>
      <c r="Z105" s="240">
        <v>1</v>
      </c>
      <c r="AA105" s="112">
        <v>0.85</v>
      </c>
      <c r="AB105" s="165"/>
      <c r="AC105" s="141"/>
      <c r="AE105" s="262" t="str">
        <f xml:space="preserve"> IF(AI89&gt;1, IF(AI89&gt;10,"Year 4",""),"")</f>
        <v>Year 4</v>
      </c>
      <c r="AF105" s="263">
        <f>IF(AE105="Year 4",AF104+1,"")</f>
        <v>2015</v>
      </c>
      <c r="AG105" s="240">
        <v>1</v>
      </c>
      <c r="AH105" s="112">
        <v>0.85</v>
      </c>
      <c r="AI105" s="165"/>
      <c r="AJ105" s="141"/>
      <c r="AL105" s="262" t="str">
        <f xml:space="preserve"> IF(AP89&gt;1, IF(AP89&gt;10,"Year 4",""),"")</f>
        <v>Year 4</v>
      </c>
      <c r="AM105" s="263">
        <f>IF(AL105="Year 4",AM104+1,"")</f>
        <v>2015</v>
      </c>
      <c r="AN105" s="240">
        <v>1</v>
      </c>
      <c r="AO105" s="112">
        <v>0.85</v>
      </c>
      <c r="AP105" s="165"/>
      <c r="AQ105" s="141"/>
      <c r="AS105" s="262" t="str">
        <f xml:space="preserve"> IF(AW89&gt;1, IF(AW89&gt;10,"Year 4",""),"")</f>
        <v>Year 4</v>
      </c>
      <c r="AT105" s="263">
        <f>IF(AS105="Year 4",AT104+1,"")</f>
        <v>2015</v>
      </c>
      <c r="AU105" s="240">
        <v>1</v>
      </c>
      <c r="AV105" s="112">
        <v>0.85</v>
      </c>
      <c r="AW105" s="165"/>
      <c r="AX105" s="141"/>
      <c r="AY105" s="155"/>
      <c r="AZ105" s="155"/>
      <c r="BA105" s="155"/>
      <c r="BB105" s="262" t="str">
        <f xml:space="preserve"> IF(BF89&gt;1, IF(BF89&gt;10,"Year 4",""),"")</f>
        <v>Year 4</v>
      </c>
      <c r="BC105" s="263">
        <f>IF(BB105="Year 4",BC104+1,"")</f>
        <v>2015</v>
      </c>
      <c r="BD105" s="240">
        <v>1</v>
      </c>
      <c r="BE105" s="112">
        <v>0.85</v>
      </c>
      <c r="BF105" s="165"/>
      <c r="BG105" s="141"/>
    </row>
    <row r="106" spans="1:59" x14ac:dyDescent="0.2">
      <c r="A106" s="96"/>
      <c r="B106" s="96"/>
      <c r="C106" s="258" t="str">
        <f xml:space="preserve"> IF(G89&gt;1, IF(G89&gt;10,"Year 5",""),"")</f>
        <v>Year 5</v>
      </c>
      <c r="D106" s="253">
        <f>IF(C106="Year 5",D105+1,"")</f>
        <v>2016</v>
      </c>
      <c r="E106" s="234">
        <v>1</v>
      </c>
      <c r="F106" s="234">
        <v>1</v>
      </c>
      <c r="G106" s="131">
        <v>0.85</v>
      </c>
      <c r="H106" s="122">
        <v>0.85</v>
      </c>
      <c r="I106" s="1" t="str">
        <f t="shared" si="13"/>
        <v xml:space="preserve"> </v>
      </c>
      <c r="J106" s="262" t="str">
        <f xml:space="preserve"> IF(N89&gt;1, IF(N89&gt;10,"Year 5",""),"")</f>
        <v>Year 5</v>
      </c>
      <c r="K106" s="263">
        <f>IF(J106="Year 5",K105+1,"")</f>
        <v>2016</v>
      </c>
      <c r="L106" s="234">
        <v>1</v>
      </c>
      <c r="M106" s="234">
        <v>1</v>
      </c>
      <c r="N106" s="131">
        <v>0.85</v>
      </c>
      <c r="O106" s="122">
        <v>0.85</v>
      </c>
      <c r="P106" s="1" t="str">
        <f t="shared" si="14"/>
        <v xml:space="preserve"> </v>
      </c>
      <c r="Q106" s="262" t="str">
        <f xml:space="preserve"> IF(U89&gt;1, IF(U89&gt;10,"Year 5",""),"")</f>
        <v>Year 5</v>
      </c>
      <c r="R106" s="263">
        <f>IF(Q106="Year 5",R105+1,"")</f>
        <v>2016</v>
      </c>
      <c r="S106" s="240">
        <v>1</v>
      </c>
      <c r="T106" s="112">
        <v>0.85</v>
      </c>
      <c r="U106" s="165"/>
      <c r="V106" s="141"/>
      <c r="X106" s="262" t="str">
        <f xml:space="preserve"> IF(AB89&gt;1, IF(AB89&gt;10,"Year 5",""),"")</f>
        <v>Year 5</v>
      </c>
      <c r="Y106" s="263">
        <f>IF(X106="Year 5",Y105+1,"")</f>
        <v>2016</v>
      </c>
      <c r="Z106" s="240">
        <v>1</v>
      </c>
      <c r="AA106" s="112">
        <v>0.85</v>
      </c>
      <c r="AB106" s="165"/>
      <c r="AC106" s="141"/>
      <c r="AE106" s="262" t="str">
        <f xml:space="preserve"> IF(AI89&gt;1, IF(AI89&gt;10,"Year 5",""),"")</f>
        <v>Year 5</v>
      </c>
      <c r="AF106" s="263">
        <f>IF(AE106="Year 5",AF105+1,"")</f>
        <v>2016</v>
      </c>
      <c r="AG106" s="240">
        <v>1</v>
      </c>
      <c r="AH106" s="112">
        <v>0.85</v>
      </c>
      <c r="AI106" s="165"/>
      <c r="AJ106" s="141"/>
      <c r="AL106" s="262" t="str">
        <f xml:space="preserve"> IF(AP89&gt;1, IF(AP89&gt;10,"Year 5",""),"")</f>
        <v>Year 5</v>
      </c>
      <c r="AM106" s="263">
        <f>IF(AL106="Year 5",AM105+1,"")</f>
        <v>2016</v>
      </c>
      <c r="AN106" s="240">
        <v>1</v>
      </c>
      <c r="AO106" s="112">
        <v>0.85</v>
      </c>
      <c r="AP106" s="165"/>
      <c r="AQ106" s="141"/>
      <c r="AS106" s="262" t="str">
        <f xml:space="preserve"> IF(AW89&gt;1, IF(AW89&gt;10,"Year 5",""),"")</f>
        <v>Year 5</v>
      </c>
      <c r="AT106" s="263">
        <f>IF(AS106="Year 5",AT105+1,"")</f>
        <v>2016</v>
      </c>
      <c r="AU106" s="240">
        <v>1</v>
      </c>
      <c r="AV106" s="112">
        <v>0.85</v>
      </c>
      <c r="AW106" s="165"/>
      <c r="AX106" s="141"/>
      <c r="AY106" s="155"/>
      <c r="AZ106" s="155"/>
      <c r="BA106" s="155"/>
      <c r="BB106" s="262" t="str">
        <f xml:space="preserve"> IF(BF89&gt;1, IF(BF89&gt;10,"Year 5",""),"")</f>
        <v>Year 5</v>
      </c>
      <c r="BC106" s="263">
        <f>IF(BB106="Year 5",BC105+1,"")</f>
        <v>2016</v>
      </c>
      <c r="BD106" s="240">
        <v>1</v>
      </c>
      <c r="BE106" s="112">
        <v>0.85</v>
      </c>
      <c r="BF106" s="165"/>
      <c r="BG106" s="141"/>
    </row>
    <row r="107" spans="1:59" x14ac:dyDescent="0.2">
      <c r="A107" s="96"/>
      <c r="B107" s="96"/>
      <c r="C107" s="258" t="str">
        <f xml:space="preserve"> IF(G89&gt;1, IF(G89&gt;10,"Year 6",""),"")</f>
        <v>Year 6</v>
      </c>
      <c r="D107" s="253">
        <f>IF(C107="Year 6",D106+1,"")</f>
        <v>2017</v>
      </c>
      <c r="E107" s="234">
        <v>1</v>
      </c>
      <c r="F107" s="234">
        <v>1</v>
      </c>
      <c r="G107" s="131">
        <v>0.85</v>
      </c>
      <c r="H107" s="122">
        <v>0.85</v>
      </c>
      <c r="I107" s="1" t="str">
        <f t="shared" si="13"/>
        <v xml:space="preserve"> </v>
      </c>
      <c r="J107" s="262" t="str">
        <f xml:space="preserve"> IF(N89&gt;1, IF(N89&gt;10,"Year 6",""),"")</f>
        <v>Year 6</v>
      </c>
      <c r="K107" s="263">
        <f>IF(J107="Year 6",K106+1,"")</f>
        <v>2017</v>
      </c>
      <c r="L107" s="234">
        <v>1</v>
      </c>
      <c r="M107" s="234">
        <v>1</v>
      </c>
      <c r="N107" s="131">
        <v>0.85</v>
      </c>
      <c r="O107" s="122">
        <v>0.85</v>
      </c>
      <c r="P107" s="1" t="str">
        <f t="shared" si="14"/>
        <v xml:space="preserve"> </v>
      </c>
      <c r="Q107" s="262" t="str">
        <f xml:space="preserve"> IF(U89&gt;1, IF(U89&gt;10,"Year 6",""),"")</f>
        <v>Year 6</v>
      </c>
      <c r="R107" s="263">
        <f>IF(Q107="Year 6",R106+1,"")</f>
        <v>2017</v>
      </c>
      <c r="S107" s="240">
        <v>1</v>
      </c>
      <c r="T107" s="112">
        <v>0.85</v>
      </c>
      <c r="U107" s="165"/>
      <c r="V107" s="141"/>
      <c r="X107" s="262" t="str">
        <f xml:space="preserve"> IF(AB89&gt;1, IF(AB89&gt;10,"Year 6",""),"")</f>
        <v>Year 6</v>
      </c>
      <c r="Y107" s="263">
        <f>IF(X107="Year 6",Y106+1,"")</f>
        <v>2017</v>
      </c>
      <c r="Z107" s="240">
        <v>1</v>
      </c>
      <c r="AA107" s="112">
        <v>0.85</v>
      </c>
      <c r="AB107" s="165"/>
      <c r="AC107" s="141"/>
      <c r="AE107" s="262" t="str">
        <f xml:space="preserve"> IF(AI89&gt;1, IF(AI89&gt;10,"Year 6",""),"")</f>
        <v>Year 6</v>
      </c>
      <c r="AF107" s="263">
        <f>IF(AE107="Year 6",AF106+1,"")</f>
        <v>2017</v>
      </c>
      <c r="AG107" s="240">
        <v>1</v>
      </c>
      <c r="AH107" s="112">
        <v>0.85</v>
      </c>
      <c r="AI107" s="165"/>
      <c r="AJ107" s="141"/>
      <c r="AL107" s="262" t="str">
        <f xml:space="preserve"> IF(AP89&gt;1, IF(AP89&gt;10,"Year 6",""),"")</f>
        <v>Year 6</v>
      </c>
      <c r="AM107" s="263">
        <f>IF(AL107="Year 6",AM106+1,"")</f>
        <v>2017</v>
      </c>
      <c r="AN107" s="240">
        <v>1</v>
      </c>
      <c r="AO107" s="112">
        <v>0.85</v>
      </c>
      <c r="AP107" s="165"/>
      <c r="AQ107" s="141"/>
      <c r="AS107" s="262" t="str">
        <f xml:space="preserve"> IF(AW89&gt;1, IF(AW89&gt;10,"Year 6",""),"")</f>
        <v>Year 6</v>
      </c>
      <c r="AT107" s="263">
        <f>IF(AS107="Year 6",AT106+1,"")</f>
        <v>2017</v>
      </c>
      <c r="AU107" s="240">
        <v>1</v>
      </c>
      <c r="AV107" s="112">
        <v>0.85</v>
      </c>
      <c r="AW107" s="165"/>
      <c r="AX107" s="141"/>
      <c r="AY107" s="155"/>
      <c r="AZ107" s="155"/>
      <c r="BA107" s="155"/>
      <c r="BB107" s="262" t="str">
        <f xml:space="preserve"> IF(BF89&gt;1, IF(BF89&gt;10,"Year 6",""),"")</f>
        <v>Year 6</v>
      </c>
      <c r="BC107" s="263">
        <f>IF(BB107="Year 6",BC106+1,"")</f>
        <v>2017</v>
      </c>
      <c r="BD107" s="240">
        <v>1</v>
      </c>
      <c r="BE107" s="112">
        <v>0.85</v>
      </c>
      <c r="BF107" s="165"/>
      <c r="BG107" s="141"/>
    </row>
    <row r="108" spans="1:59" x14ac:dyDescent="0.2">
      <c r="A108" s="96"/>
      <c r="B108" s="96"/>
      <c r="C108" s="258" t="str">
        <f xml:space="preserve"> IF(G89&gt;1, IF(G89&gt;10,"Year 7",""),"")</f>
        <v>Year 7</v>
      </c>
      <c r="D108" s="253">
        <f>IF(C108="Year 7",D107+1,"")</f>
        <v>2018</v>
      </c>
      <c r="E108" s="234">
        <v>1</v>
      </c>
      <c r="F108" s="234">
        <v>1</v>
      </c>
      <c r="G108" s="131">
        <v>0.85</v>
      </c>
      <c r="H108" s="122">
        <v>0.85</v>
      </c>
      <c r="I108" s="1" t="str">
        <f t="shared" si="13"/>
        <v xml:space="preserve"> </v>
      </c>
      <c r="J108" s="262" t="str">
        <f xml:space="preserve"> IF(N89&gt;1, IF(N89&gt;10,"Year 7",""),"")</f>
        <v>Year 7</v>
      </c>
      <c r="K108" s="263">
        <f>IF(J108="Year 7",K107+1,"")</f>
        <v>2018</v>
      </c>
      <c r="L108" s="234">
        <v>1</v>
      </c>
      <c r="M108" s="234">
        <v>1</v>
      </c>
      <c r="N108" s="131">
        <v>0.85</v>
      </c>
      <c r="O108" s="122">
        <v>0.85</v>
      </c>
      <c r="P108" s="1" t="str">
        <f t="shared" si="14"/>
        <v xml:space="preserve"> </v>
      </c>
      <c r="Q108" s="262" t="str">
        <f xml:space="preserve"> IF(U89&gt;1, IF(U89&gt;10,"Year 7",""),"")</f>
        <v>Year 7</v>
      </c>
      <c r="R108" s="263">
        <f>IF(Q108="Year 7",R107+1,"")</f>
        <v>2018</v>
      </c>
      <c r="S108" s="240">
        <v>1</v>
      </c>
      <c r="T108" s="112">
        <v>0.85</v>
      </c>
      <c r="U108" s="165"/>
      <c r="V108" s="141"/>
      <c r="X108" s="262" t="str">
        <f xml:space="preserve"> IF(AB89&gt;1, IF(AB89&gt;10,"Year 7",""),"")</f>
        <v>Year 7</v>
      </c>
      <c r="Y108" s="263">
        <f>IF(X108="Year 7",Y107+1,"")</f>
        <v>2018</v>
      </c>
      <c r="Z108" s="240">
        <v>1</v>
      </c>
      <c r="AA108" s="112">
        <v>0.85</v>
      </c>
      <c r="AB108" s="165"/>
      <c r="AC108" s="141"/>
      <c r="AE108" s="262" t="str">
        <f xml:space="preserve"> IF(AI89&gt;1, IF(AI89&gt;10,"Year 7",""),"")</f>
        <v>Year 7</v>
      </c>
      <c r="AF108" s="263">
        <f>IF(AE108="Year 7",AF107+1,"")</f>
        <v>2018</v>
      </c>
      <c r="AG108" s="240">
        <v>1</v>
      </c>
      <c r="AH108" s="112">
        <v>0.85</v>
      </c>
      <c r="AI108" s="165"/>
      <c r="AJ108" s="141"/>
      <c r="AL108" s="262" t="str">
        <f xml:space="preserve"> IF(AP89&gt;1, IF(AP89&gt;10,"Year 7",""),"")</f>
        <v>Year 7</v>
      </c>
      <c r="AM108" s="263">
        <f>IF(AL108="Year 7",AM107+1,"")</f>
        <v>2018</v>
      </c>
      <c r="AN108" s="240">
        <v>1</v>
      </c>
      <c r="AO108" s="112">
        <v>0.85</v>
      </c>
      <c r="AP108" s="165"/>
      <c r="AQ108" s="141"/>
      <c r="AS108" s="262" t="str">
        <f xml:space="preserve"> IF(AW89&gt;1, IF(AW89&gt;10,"Year 7",""),"")</f>
        <v>Year 7</v>
      </c>
      <c r="AT108" s="263">
        <f>IF(AS108="Year 7",AT107+1,"")</f>
        <v>2018</v>
      </c>
      <c r="AU108" s="240">
        <v>1</v>
      </c>
      <c r="AV108" s="112">
        <v>0.85</v>
      </c>
      <c r="AW108" s="165"/>
      <c r="AX108" s="141"/>
      <c r="AY108" s="155"/>
      <c r="AZ108" s="155"/>
      <c r="BA108" s="155"/>
      <c r="BB108" s="262" t="str">
        <f xml:space="preserve"> IF(BF89&gt;1, IF(BF89&gt;10,"Year 7",""),"")</f>
        <v>Year 7</v>
      </c>
      <c r="BC108" s="263">
        <f>IF(BB108="Year 7",BC107+1,"")</f>
        <v>2018</v>
      </c>
      <c r="BD108" s="240">
        <v>1</v>
      </c>
      <c r="BE108" s="112">
        <v>0.85</v>
      </c>
      <c r="BF108" s="165"/>
      <c r="BG108" s="141"/>
    </row>
    <row r="109" spans="1:59" x14ac:dyDescent="0.2">
      <c r="A109" s="96"/>
      <c r="B109" s="96"/>
      <c r="C109" s="258" t="str">
        <f xml:space="preserve"> IF(G89&gt;1, IF(G89&gt;10,"Year 8",""),"")</f>
        <v>Year 8</v>
      </c>
      <c r="D109" s="253">
        <f>IF(C109="Year 8",D108+1,"")</f>
        <v>2019</v>
      </c>
      <c r="E109" s="234">
        <v>1</v>
      </c>
      <c r="F109" s="234">
        <v>1</v>
      </c>
      <c r="G109" s="131">
        <v>0.85</v>
      </c>
      <c r="H109" s="122">
        <v>0.85</v>
      </c>
      <c r="I109" s="1" t="str">
        <f t="shared" si="13"/>
        <v xml:space="preserve"> </v>
      </c>
      <c r="J109" s="262" t="str">
        <f xml:space="preserve"> IF(N89&gt;1, IF(N89&gt;10,"Year 8",""),"")</f>
        <v>Year 8</v>
      </c>
      <c r="K109" s="263">
        <f>IF(J109="Year 8",K108+1,"")</f>
        <v>2019</v>
      </c>
      <c r="L109" s="234">
        <v>1</v>
      </c>
      <c r="M109" s="234">
        <v>1</v>
      </c>
      <c r="N109" s="131">
        <v>0.85</v>
      </c>
      <c r="O109" s="122">
        <v>0.85</v>
      </c>
      <c r="P109" s="1" t="str">
        <f t="shared" si="14"/>
        <v xml:space="preserve"> </v>
      </c>
      <c r="Q109" s="262" t="str">
        <f xml:space="preserve"> IF(U89&gt;1, IF(U89&gt;10,"Year 8",""),"")</f>
        <v>Year 8</v>
      </c>
      <c r="R109" s="263">
        <f>IF(Q109="Year 8",R108+1,"")</f>
        <v>2019</v>
      </c>
      <c r="S109" s="240">
        <v>1</v>
      </c>
      <c r="T109" s="112">
        <v>0.85</v>
      </c>
      <c r="U109" s="165"/>
      <c r="V109" s="141"/>
      <c r="X109" s="262" t="str">
        <f xml:space="preserve"> IF(AB89&gt;1, IF(AB89&gt;10,"Year 8",""),"")</f>
        <v>Year 8</v>
      </c>
      <c r="Y109" s="263">
        <f>IF(X109="Year 8",Y108+1,"")</f>
        <v>2019</v>
      </c>
      <c r="Z109" s="240">
        <v>1</v>
      </c>
      <c r="AA109" s="112">
        <v>0.85</v>
      </c>
      <c r="AB109" s="165"/>
      <c r="AC109" s="141"/>
      <c r="AE109" s="262" t="str">
        <f xml:space="preserve"> IF(AI89&gt;1, IF(AI89&gt;10,"Year 8",""),"")</f>
        <v>Year 8</v>
      </c>
      <c r="AF109" s="263">
        <f>IF(AE109="Year 8",AF108+1,"")</f>
        <v>2019</v>
      </c>
      <c r="AG109" s="240">
        <v>1</v>
      </c>
      <c r="AH109" s="112">
        <v>0.85</v>
      </c>
      <c r="AI109" s="165"/>
      <c r="AJ109" s="141"/>
      <c r="AL109" s="262" t="str">
        <f xml:space="preserve"> IF(AP89&gt;1, IF(AP89&gt;10,"Year 8",""),"")</f>
        <v>Year 8</v>
      </c>
      <c r="AM109" s="263">
        <f>IF(AL109="Year 8",AM108+1,"")</f>
        <v>2019</v>
      </c>
      <c r="AN109" s="240">
        <v>1</v>
      </c>
      <c r="AO109" s="112">
        <v>0.85</v>
      </c>
      <c r="AP109" s="165"/>
      <c r="AQ109" s="141"/>
      <c r="AS109" s="262" t="str">
        <f xml:space="preserve"> IF(AW89&gt;1, IF(AW89&gt;10,"Year 8",""),"")</f>
        <v>Year 8</v>
      </c>
      <c r="AT109" s="263">
        <f>IF(AS109="Year 8",AT108+1,"")</f>
        <v>2019</v>
      </c>
      <c r="AU109" s="240">
        <v>1</v>
      </c>
      <c r="AV109" s="112">
        <v>0.85</v>
      </c>
      <c r="AW109" s="165"/>
      <c r="AX109" s="141"/>
      <c r="AY109" s="155"/>
      <c r="AZ109" s="155"/>
      <c r="BA109" s="155"/>
      <c r="BB109" s="262" t="str">
        <f xml:space="preserve"> IF(BF89&gt;1, IF(BF89&gt;10,"Year 8",""),"")</f>
        <v>Year 8</v>
      </c>
      <c r="BC109" s="263">
        <f>IF(BB109="Year 8",BC108+1,"")</f>
        <v>2019</v>
      </c>
      <c r="BD109" s="240">
        <v>1</v>
      </c>
      <c r="BE109" s="112">
        <v>0.85</v>
      </c>
      <c r="BF109" s="165"/>
      <c r="BG109" s="141"/>
    </row>
    <row r="110" spans="1:59" x14ac:dyDescent="0.2">
      <c r="A110" s="96"/>
      <c r="B110" s="96"/>
      <c r="C110" s="258" t="str">
        <f xml:space="preserve"> IF(G89&gt;1, IF(G89&gt;10,"Year 9",""),"")</f>
        <v>Year 9</v>
      </c>
      <c r="D110" s="253">
        <f>IF(C110="Year 9",D109+1,"")</f>
        <v>2020</v>
      </c>
      <c r="E110" s="234">
        <v>1</v>
      </c>
      <c r="F110" s="234">
        <v>1</v>
      </c>
      <c r="G110" s="131">
        <v>0.85</v>
      </c>
      <c r="H110" s="122">
        <v>0.85</v>
      </c>
      <c r="I110" s="1" t="str">
        <f t="shared" si="13"/>
        <v xml:space="preserve"> </v>
      </c>
      <c r="J110" s="262" t="str">
        <f xml:space="preserve"> IF(N89&gt;1, IF(N89&gt;10,"Year 9",""),"")</f>
        <v>Year 9</v>
      </c>
      <c r="K110" s="263">
        <f>IF(J110="Year 9",K109+1,"")</f>
        <v>2020</v>
      </c>
      <c r="L110" s="234">
        <v>1</v>
      </c>
      <c r="M110" s="234">
        <v>1</v>
      </c>
      <c r="N110" s="131">
        <v>0.85</v>
      </c>
      <c r="O110" s="122">
        <v>0.85</v>
      </c>
      <c r="P110" s="1" t="str">
        <f t="shared" si="14"/>
        <v xml:space="preserve"> </v>
      </c>
      <c r="Q110" s="262" t="str">
        <f xml:space="preserve"> IF(U89&gt;1, IF(U89&gt;10,"Year 9",""),"")</f>
        <v>Year 9</v>
      </c>
      <c r="R110" s="263">
        <f>IF(Q110="Year 9",R109+1,"")</f>
        <v>2020</v>
      </c>
      <c r="S110" s="240">
        <v>1</v>
      </c>
      <c r="T110" s="112">
        <v>0.85</v>
      </c>
      <c r="U110" s="165"/>
      <c r="V110" s="141"/>
      <c r="X110" s="262" t="str">
        <f xml:space="preserve"> IF(AB89&gt;1, IF(AB89&gt;10,"Year 9",""),"")</f>
        <v>Year 9</v>
      </c>
      <c r="Y110" s="263">
        <f>IF(X110="Year 9",Y109+1,"")</f>
        <v>2020</v>
      </c>
      <c r="Z110" s="240">
        <v>1</v>
      </c>
      <c r="AA110" s="112">
        <v>0.85</v>
      </c>
      <c r="AB110" s="165"/>
      <c r="AC110" s="141"/>
      <c r="AE110" s="262" t="str">
        <f xml:space="preserve"> IF(AI89&gt;1, IF(AI89&gt;10,"Year 9",""),"")</f>
        <v>Year 9</v>
      </c>
      <c r="AF110" s="263">
        <f>IF(AE110="Year 9",AF109+1,"")</f>
        <v>2020</v>
      </c>
      <c r="AG110" s="240">
        <v>1</v>
      </c>
      <c r="AH110" s="112">
        <v>0.85</v>
      </c>
      <c r="AI110" s="165"/>
      <c r="AJ110" s="141"/>
      <c r="AL110" s="262" t="str">
        <f xml:space="preserve"> IF(AP89&gt;1, IF(AP89&gt;10,"Year 9",""),"")</f>
        <v>Year 9</v>
      </c>
      <c r="AM110" s="263">
        <f>IF(AL110="Year 9",AM109+1,"")</f>
        <v>2020</v>
      </c>
      <c r="AN110" s="240">
        <v>1</v>
      </c>
      <c r="AO110" s="112">
        <v>0.85</v>
      </c>
      <c r="AP110" s="165"/>
      <c r="AQ110" s="141"/>
      <c r="AS110" s="262" t="str">
        <f xml:space="preserve"> IF(AW89&gt;1, IF(AW89&gt;10,"Year 9",""),"")</f>
        <v>Year 9</v>
      </c>
      <c r="AT110" s="263">
        <f>IF(AS110="Year 9",AT109+1,"")</f>
        <v>2020</v>
      </c>
      <c r="AU110" s="240">
        <v>1</v>
      </c>
      <c r="AV110" s="112">
        <v>0.85</v>
      </c>
      <c r="AW110" s="165"/>
      <c r="AX110" s="141"/>
      <c r="AY110" s="155"/>
      <c r="AZ110" s="155"/>
      <c r="BA110" s="155"/>
      <c r="BB110" s="262" t="str">
        <f xml:space="preserve"> IF(BF89&gt;1, IF(BF89&gt;10,"Year 9",""),"")</f>
        <v>Year 9</v>
      </c>
      <c r="BC110" s="263">
        <f>IF(BB110="Year 9",BC109+1,"")</f>
        <v>2020</v>
      </c>
      <c r="BD110" s="240">
        <v>1</v>
      </c>
      <c r="BE110" s="112">
        <v>0.85</v>
      </c>
      <c r="BF110" s="165"/>
      <c r="BG110" s="141"/>
    </row>
    <row r="111" spans="1:59" x14ac:dyDescent="0.2">
      <c r="A111" s="96"/>
      <c r="B111" s="96"/>
      <c r="C111" s="258" t="str">
        <f xml:space="preserve"> IF(G89&gt;1, IF(G89&gt;10,"Year 10",""),"")</f>
        <v>Year 10</v>
      </c>
      <c r="D111" s="253">
        <f>IF(C111="Year 10",D110+1,"")</f>
        <v>2021</v>
      </c>
      <c r="E111" s="234">
        <v>1</v>
      </c>
      <c r="F111" s="234">
        <v>1</v>
      </c>
      <c r="G111" s="131">
        <v>0.85</v>
      </c>
      <c r="H111" s="122">
        <v>0.85</v>
      </c>
      <c r="I111" s="1" t="str">
        <f t="shared" si="13"/>
        <v xml:space="preserve"> </v>
      </c>
      <c r="J111" s="262" t="str">
        <f xml:space="preserve"> IF(N89&gt;1, IF(N89&gt;10,"Year 10",""),"")</f>
        <v>Year 10</v>
      </c>
      <c r="K111" s="263">
        <f>IF(J111="Year 10",K110+1,"")</f>
        <v>2021</v>
      </c>
      <c r="L111" s="234">
        <v>1</v>
      </c>
      <c r="M111" s="234">
        <v>1</v>
      </c>
      <c r="N111" s="131">
        <v>0.85</v>
      </c>
      <c r="O111" s="122">
        <v>0.85</v>
      </c>
      <c r="P111" s="1" t="str">
        <f t="shared" si="14"/>
        <v xml:space="preserve"> </v>
      </c>
      <c r="Q111" s="262" t="str">
        <f xml:space="preserve"> IF(U89&gt;1, IF(U89&gt;10,"Year 10",""),"")</f>
        <v>Year 10</v>
      </c>
      <c r="R111" s="263">
        <f>IF(Q111="Year 10",R110+1,"")</f>
        <v>2021</v>
      </c>
      <c r="S111" s="240">
        <v>1</v>
      </c>
      <c r="T111" s="112">
        <v>0.85</v>
      </c>
      <c r="U111" s="165"/>
      <c r="V111" s="141"/>
      <c r="X111" s="262" t="str">
        <f xml:space="preserve"> IF(AB89&gt;1, IF(AB89&gt;10,"Year 10",""),"")</f>
        <v>Year 10</v>
      </c>
      <c r="Y111" s="263">
        <f>IF(X111="Year 10",Y110+1,"")</f>
        <v>2021</v>
      </c>
      <c r="Z111" s="240">
        <v>1</v>
      </c>
      <c r="AA111" s="112">
        <v>0.85</v>
      </c>
      <c r="AB111" s="165"/>
      <c r="AC111" s="141"/>
      <c r="AE111" s="262" t="str">
        <f xml:space="preserve"> IF(AI89&gt;1, IF(AI89&gt;10,"Year 10",""),"")</f>
        <v>Year 10</v>
      </c>
      <c r="AF111" s="263">
        <f>IF(AE111="Year 10",AF110+1,"")</f>
        <v>2021</v>
      </c>
      <c r="AG111" s="240">
        <v>1</v>
      </c>
      <c r="AH111" s="112">
        <v>0.85</v>
      </c>
      <c r="AI111" s="165"/>
      <c r="AJ111" s="141"/>
      <c r="AL111" s="262" t="str">
        <f xml:space="preserve"> IF(AP89&gt;1, IF(AP89&gt;10,"Year 10",""),"")</f>
        <v>Year 10</v>
      </c>
      <c r="AM111" s="263">
        <f>IF(AL111="Year 10",AM110+1,"")</f>
        <v>2021</v>
      </c>
      <c r="AN111" s="240">
        <v>1</v>
      </c>
      <c r="AO111" s="112">
        <v>0.85</v>
      </c>
      <c r="AP111" s="165"/>
      <c r="AQ111" s="141"/>
      <c r="AS111" s="262" t="str">
        <f xml:space="preserve"> IF(AW89&gt;1, IF(AW89&gt;10,"Year 10",""),"")</f>
        <v>Year 10</v>
      </c>
      <c r="AT111" s="263">
        <f>IF(AS111="Year 10",AT110+1,"")</f>
        <v>2021</v>
      </c>
      <c r="AU111" s="240">
        <v>1</v>
      </c>
      <c r="AV111" s="112">
        <v>0.85</v>
      </c>
      <c r="AW111" s="165"/>
      <c r="AX111" s="141"/>
      <c r="AY111" s="155"/>
      <c r="AZ111" s="155"/>
      <c r="BA111" s="155"/>
      <c r="BB111" s="262" t="str">
        <f xml:space="preserve"> IF(BF89&gt;1, IF(BF89&gt;10,"Year 10",""),"")</f>
        <v>Year 10</v>
      </c>
      <c r="BC111" s="263">
        <f>IF(BB111="Year 10",BC110+1,"")</f>
        <v>2021</v>
      </c>
      <c r="BD111" s="240">
        <v>1</v>
      </c>
      <c r="BE111" s="112">
        <v>0.85</v>
      </c>
      <c r="BF111" s="165"/>
      <c r="BG111" s="141"/>
    </row>
    <row r="112" spans="1:59" x14ac:dyDescent="0.2">
      <c r="A112" s="96"/>
      <c r="B112" s="96"/>
      <c r="C112" s="258" t="str">
        <f xml:space="preserve"> IF(G89&gt;1, IF(G89&gt;10,"Year 11",""),"")</f>
        <v>Year 11</v>
      </c>
      <c r="D112" s="253">
        <f>IF(C112="Year 11",D111+1,"")</f>
        <v>2022</v>
      </c>
      <c r="E112" s="234">
        <v>1</v>
      </c>
      <c r="F112" s="234">
        <v>1</v>
      </c>
      <c r="G112" s="131">
        <v>0.85</v>
      </c>
      <c r="H112" s="122">
        <v>0.85</v>
      </c>
      <c r="I112" s="1" t="str">
        <f t="shared" si="13"/>
        <v xml:space="preserve"> </v>
      </c>
      <c r="J112" s="262" t="str">
        <f xml:space="preserve"> IF(N89&gt;1, IF(N89&gt;10,"Year 11",""),"")</f>
        <v>Year 11</v>
      </c>
      <c r="K112" s="263">
        <f>IF(J112="Year 11",K111+1,"")</f>
        <v>2022</v>
      </c>
      <c r="L112" s="234">
        <v>1</v>
      </c>
      <c r="M112" s="234">
        <v>1</v>
      </c>
      <c r="N112" s="131">
        <v>0.85</v>
      </c>
      <c r="O112" s="122">
        <v>0.85</v>
      </c>
      <c r="P112" s="1" t="str">
        <f t="shared" si="14"/>
        <v xml:space="preserve"> </v>
      </c>
      <c r="Q112" s="262" t="str">
        <f xml:space="preserve"> IF(U89&gt;1, IF(U89&gt;10,"Year 11",""),"")</f>
        <v>Year 11</v>
      </c>
      <c r="R112" s="263">
        <f>IF(Q112="Year 11",R111+1,"")</f>
        <v>2022</v>
      </c>
      <c r="S112" s="240">
        <v>1</v>
      </c>
      <c r="T112" s="112">
        <v>0.85</v>
      </c>
      <c r="U112" s="165"/>
      <c r="V112" s="141"/>
      <c r="X112" s="262" t="str">
        <f xml:space="preserve"> IF(AB89&gt;1, IF(AB89&gt;10,"Year 11",""),"")</f>
        <v>Year 11</v>
      </c>
      <c r="Y112" s="263">
        <f>IF(X112="Year 11",Y111+1,"")</f>
        <v>2022</v>
      </c>
      <c r="Z112" s="240">
        <v>1</v>
      </c>
      <c r="AA112" s="112">
        <v>0.85</v>
      </c>
      <c r="AB112" s="165"/>
      <c r="AC112" s="141"/>
      <c r="AE112" s="262" t="str">
        <f xml:space="preserve"> IF(AI89&gt;1, IF(AI89&gt;10,"Year 11",""),"")</f>
        <v>Year 11</v>
      </c>
      <c r="AF112" s="263">
        <f>IF(AE112="Year 11",AF111+1,"")</f>
        <v>2022</v>
      </c>
      <c r="AG112" s="240">
        <v>1</v>
      </c>
      <c r="AH112" s="112">
        <v>0.85</v>
      </c>
      <c r="AI112" s="165"/>
      <c r="AJ112" s="141"/>
      <c r="AL112" s="262" t="str">
        <f xml:space="preserve"> IF(AP89&gt;1, IF(AP89&gt;10,"Year 11",""),"")</f>
        <v>Year 11</v>
      </c>
      <c r="AM112" s="263">
        <f>IF(AL112="Year 11",AM111+1,"")</f>
        <v>2022</v>
      </c>
      <c r="AN112" s="240">
        <v>1</v>
      </c>
      <c r="AO112" s="112">
        <v>0.85</v>
      </c>
      <c r="AP112" s="165"/>
      <c r="AQ112" s="141"/>
      <c r="AS112" s="262" t="str">
        <f xml:space="preserve"> IF(AW89&gt;1, IF(AW89&gt;10,"Year 11",""),"")</f>
        <v>Year 11</v>
      </c>
      <c r="AT112" s="263">
        <f>IF(AS112="Year 11",AT111+1,"")</f>
        <v>2022</v>
      </c>
      <c r="AU112" s="240">
        <v>1</v>
      </c>
      <c r="AV112" s="112">
        <v>0.85</v>
      </c>
      <c r="AW112" s="165"/>
      <c r="AX112" s="141"/>
      <c r="AY112" s="155"/>
      <c r="AZ112" s="155"/>
      <c r="BA112" s="155"/>
      <c r="BB112" s="262" t="str">
        <f xml:space="preserve"> IF(BF89&gt;1, IF(BF89&gt;10,"Year 11",""),"")</f>
        <v>Year 11</v>
      </c>
      <c r="BC112" s="263">
        <f>IF(BB112="Year 11",BC111+1,"")</f>
        <v>2022</v>
      </c>
      <c r="BD112" s="240">
        <v>1</v>
      </c>
      <c r="BE112" s="112">
        <v>0.85</v>
      </c>
      <c r="BF112" s="165"/>
      <c r="BG112" s="141"/>
    </row>
    <row r="113" spans="1:59" x14ac:dyDescent="0.2">
      <c r="A113" s="96"/>
      <c r="B113" s="96"/>
      <c r="C113" s="258" t="str">
        <f xml:space="preserve"> IF(G89&gt;1, IF(G89&gt;10,"Year 12",""),"")</f>
        <v>Year 12</v>
      </c>
      <c r="D113" s="253">
        <f>IF(C113="Year 12",D112+1,"")</f>
        <v>2023</v>
      </c>
      <c r="E113" s="234">
        <v>1</v>
      </c>
      <c r="F113" s="234">
        <v>1</v>
      </c>
      <c r="G113" s="131">
        <v>0.85</v>
      </c>
      <c r="H113" s="122">
        <v>0.85</v>
      </c>
      <c r="I113" s="1" t="str">
        <f t="shared" si="13"/>
        <v xml:space="preserve"> </v>
      </c>
      <c r="J113" s="262" t="str">
        <f xml:space="preserve"> IF(N89&gt;1, IF(N89&gt;10,"Year 12",""),"")</f>
        <v>Year 12</v>
      </c>
      <c r="K113" s="263">
        <f>IF(J113="Year 12",K112+1,"")</f>
        <v>2023</v>
      </c>
      <c r="L113" s="234">
        <v>1</v>
      </c>
      <c r="M113" s="234">
        <v>1</v>
      </c>
      <c r="N113" s="131">
        <v>0.85</v>
      </c>
      <c r="O113" s="122">
        <v>0.85</v>
      </c>
      <c r="P113" s="1" t="str">
        <f t="shared" si="14"/>
        <v xml:space="preserve"> </v>
      </c>
      <c r="Q113" s="262" t="str">
        <f xml:space="preserve"> IF(U89&gt;1, IF(U89&gt;10,"Year 12",""),"")</f>
        <v>Year 12</v>
      </c>
      <c r="R113" s="263">
        <f>IF(Q113="Year 12",R112+1,"")</f>
        <v>2023</v>
      </c>
      <c r="S113" s="240">
        <v>1</v>
      </c>
      <c r="T113" s="112">
        <v>0.85</v>
      </c>
      <c r="U113" s="165"/>
      <c r="V113" s="141"/>
      <c r="X113" s="262" t="str">
        <f xml:space="preserve"> IF(AB89&gt;1, IF(AB89&gt;10,"Year 12",""),"")</f>
        <v>Year 12</v>
      </c>
      <c r="Y113" s="263">
        <f>IF(X113="Year 12",Y112+1,"")</f>
        <v>2023</v>
      </c>
      <c r="Z113" s="240">
        <v>1</v>
      </c>
      <c r="AA113" s="112">
        <v>0.85</v>
      </c>
      <c r="AB113" s="165"/>
      <c r="AC113" s="141"/>
      <c r="AE113" s="262" t="str">
        <f xml:space="preserve"> IF(AI89&gt;1, IF(AI89&gt;10,"Year 12",""),"")</f>
        <v>Year 12</v>
      </c>
      <c r="AF113" s="263">
        <f>IF(AE113="Year 12",AF112+1,"")</f>
        <v>2023</v>
      </c>
      <c r="AG113" s="240">
        <v>1</v>
      </c>
      <c r="AH113" s="112">
        <v>0.85</v>
      </c>
      <c r="AI113" s="165"/>
      <c r="AJ113" s="141"/>
      <c r="AL113" s="262" t="str">
        <f xml:space="preserve"> IF(AP89&gt;1, IF(AP89&gt;10,"Year 12",""),"")</f>
        <v>Year 12</v>
      </c>
      <c r="AM113" s="263">
        <f>IF(AL113="Year 12",AM112+1,"")</f>
        <v>2023</v>
      </c>
      <c r="AN113" s="240">
        <v>1</v>
      </c>
      <c r="AO113" s="112">
        <v>0.85</v>
      </c>
      <c r="AP113" s="165"/>
      <c r="AQ113" s="141"/>
      <c r="AS113" s="262" t="str">
        <f xml:space="preserve"> IF(AW89&gt;1, IF(AW89&gt;10,"Year 12",""),"")</f>
        <v>Year 12</v>
      </c>
      <c r="AT113" s="263">
        <f>IF(AS113="Year 12",AT112+1,"")</f>
        <v>2023</v>
      </c>
      <c r="AU113" s="240">
        <v>1</v>
      </c>
      <c r="AV113" s="112">
        <v>0.85</v>
      </c>
      <c r="AW113" s="165"/>
      <c r="AX113" s="141"/>
      <c r="AY113" s="155"/>
      <c r="AZ113" s="155"/>
      <c r="BA113" s="155"/>
      <c r="BB113" s="262" t="str">
        <f xml:space="preserve"> IF(BF89&gt;1, IF(BF89&gt;10,"Year 12",""),"")</f>
        <v>Year 12</v>
      </c>
      <c r="BC113" s="263">
        <f>IF(BB113="Year 12",BC112+1,"")</f>
        <v>2023</v>
      </c>
      <c r="BD113" s="240">
        <v>1</v>
      </c>
      <c r="BE113" s="112">
        <v>0.85</v>
      </c>
      <c r="BF113" s="165"/>
      <c r="BG113" s="141"/>
    </row>
    <row r="114" spans="1:59" x14ac:dyDescent="0.2">
      <c r="A114" s="96"/>
      <c r="B114" s="96"/>
      <c r="C114" s="258" t="str">
        <f xml:space="preserve"> IF(G89&gt;1, IF(G89&gt;11,"Year 13",""),"")</f>
        <v>Year 13</v>
      </c>
      <c r="D114" s="253">
        <f>IF(C114="Year 13",D113+1,"")</f>
        <v>2024</v>
      </c>
      <c r="E114" s="234">
        <v>1</v>
      </c>
      <c r="F114" s="234">
        <v>1</v>
      </c>
      <c r="G114" s="131">
        <v>0.85</v>
      </c>
      <c r="H114" s="122">
        <v>0.85</v>
      </c>
      <c r="I114" s="1" t="str">
        <f t="shared" si="13"/>
        <v xml:space="preserve"> </v>
      </c>
      <c r="J114" s="262" t="str">
        <f xml:space="preserve"> IF(N89&gt;1, IF(N89&gt;11,"Year 13",""),"")</f>
        <v>Year 13</v>
      </c>
      <c r="K114" s="263">
        <f>IF(J114="Year 13",K113+1,"")</f>
        <v>2024</v>
      </c>
      <c r="L114" s="234">
        <v>1</v>
      </c>
      <c r="M114" s="234">
        <v>1</v>
      </c>
      <c r="N114" s="131">
        <v>0.85</v>
      </c>
      <c r="O114" s="122">
        <v>0.85</v>
      </c>
      <c r="P114" s="1" t="str">
        <f t="shared" si="14"/>
        <v xml:space="preserve"> </v>
      </c>
      <c r="Q114" s="262" t="str">
        <f xml:space="preserve"> IF(U89&gt;1, IF(U89&gt;11,"Year 13",""),"")</f>
        <v>Year 13</v>
      </c>
      <c r="R114" s="263">
        <f>IF(Q114="Year 13",R113+1,"")</f>
        <v>2024</v>
      </c>
      <c r="S114" s="240">
        <v>1</v>
      </c>
      <c r="T114" s="112">
        <v>0.85</v>
      </c>
      <c r="U114" s="165"/>
      <c r="V114" s="141"/>
      <c r="X114" s="262" t="str">
        <f xml:space="preserve"> IF(AB89&gt;1, IF(AB89&gt;11,"Year 13",""),"")</f>
        <v>Year 13</v>
      </c>
      <c r="Y114" s="263">
        <f>IF(X114="Year 13",Y113+1,"")</f>
        <v>2024</v>
      </c>
      <c r="Z114" s="240">
        <v>1</v>
      </c>
      <c r="AA114" s="112">
        <v>0.85</v>
      </c>
      <c r="AB114" s="165"/>
      <c r="AC114" s="141"/>
      <c r="AE114" s="262" t="str">
        <f xml:space="preserve"> IF(AI89&gt;1, IF(AI89&gt;11,"Year 13",""),"")</f>
        <v>Year 13</v>
      </c>
      <c r="AF114" s="263">
        <f>IF(AE114="Year 13",AF113+1,"")</f>
        <v>2024</v>
      </c>
      <c r="AG114" s="240">
        <v>1</v>
      </c>
      <c r="AH114" s="112">
        <v>0.85</v>
      </c>
      <c r="AI114" s="165"/>
      <c r="AJ114" s="141"/>
      <c r="AL114" s="262" t="str">
        <f xml:space="preserve"> IF(AP89&gt;1, IF(AP89&gt;11,"Year 13",""),"")</f>
        <v>Year 13</v>
      </c>
      <c r="AM114" s="263">
        <f>IF(AL114="Year 13",AM113+1,"")</f>
        <v>2024</v>
      </c>
      <c r="AN114" s="240">
        <v>1</v>
      </c>
      <c r="AO114" s="112">
        <v>0.85</v>
      </c>
      <c r="AP114" s="165"/>
      <c r="AQ114" s="141"/>
      <c r="AS114" s="262" t="str">
        <f xml:space="preserve"> IF(AW89&gt;1, IF(AW89&gt;11,"Year 13",""),"")</f>
        <v>Year 13</v>
      </c>
      <c r="AT114" s="263">
        <f>IF(AS114="Year 13",AT113+1,"")</f>
        <v>2024</v>
      </c>
      <c r="AU114" s="240">
        <v>1</v>
      </c>
      <c r="AV114" s="112">
        <v>0.85</v>
      </c>
      <c r="AW114" s="165"/>
      <c r="AX114" s="141"/>
      <c r="AY114" s="155"/>
      <c r="AZ114" s="155"/>
      <c r="BA114" s="155"/>
      <c r="BB114" s="262" t="str">
        <f xml:space="preserve"> IF(BF89&gt;1, IF(BF89&gt;11,"Year 13",""),"")</f>
        <v>Year 13</v>
      </c>
      <c r="BC114" s="263">
        <f>IF(BB114="Year 13",BC113+1,"")</f>
        <v>2024</v>
      </c>
      <c r="BD114" s="240">
        <v>1</v>
      </c>
      <c r="BE114" s="112">
        <v>0.85</v>
      </c>
      <c r="BF114" s="165"/>
      <c r="BG114" s="141"/>
    </row>
    <row r="115" spans="1:59" x14ac:dyDescent="0.2">
      <c r="A115" s="96"/>
      <c r="B115" s="96"/>
      <c r="C115" s="258" t="str">
        <f xml:space="preserve"> IF(G89&gt;1, IF(G89&gt;12,"Year 14",""),"")</f>
        <v>Year 14</v>
      </c>
      <c r="D115" s="253">
        <f>IF(C115="Year 14",D114+1,"")</f>
        <v>2025</v>
      </c>
      <c r="E115" s="234">
        <v>1</v>
      </c>
      <c r="F115" s="234">
        <v>1</v>
      </c>
      <c r="G115" s="131">
        <v>0.85</v>
      </c>
      <c r="H115" s="122">
        <v>0.85</v>
      </c>
      <c r="I115" s="1" t="str">
        <f t="shared" si="13"/>
        <v xml:space="preserve"> </v>
      </c>
      <c r="J115" s="262" t="str">
        <f xml:space="preserve"> IF(N89&gt;1, IF(N89&gt;12,"Year 14",""),"")</f>
        <v>Year 14</v>
      </c>
      <c r="K115" s="263">
        <f>IF(J115="Year 14",K114+1,"")</f>
        <v>2025</v>
      </c>
      <c r="L115" s="234">
        <v>1</v>
      </c>
      <c r="M115" s="234">
        <v>1</v>
      </c>
      <c r="N115" s="131">
        <v>0.85</v>
      </c>
      <c r="O115" s="122">
        <v>0.85</v>
      </c>
      <c r="P115" s="1" t="str">
        <f t="shared" si="14"/>
        <v xml:space="preserve"> </v>
      </c>
      <c r="Q115" s="262" t="str">
        <f xml:space="preserve"> IF(U89&gt;1, IF(U89&gt;12,"Year 14",""),"")</f>
        <v>Year 14</v>
      </c>
      <c r="R115" s="263">
        <f>IF(Q115="Year 14",R114+1,"")</f>
        <v>2025</v>
      </c>
      <c r="S115" s="240">
        <v>1</v>
      </c>
      <c r="T115" s="112">
        <v>0.85</v>
      </c>
      <c r="U115" s="165"/>
      <c r="V115" s="141"/>
      <c r="X115" s="262" t="str">
        <f xml:space="preserve"> IF(AB89&gt;1, IF(AB89&gt;12,"Year 14",""),"")</f>
        <v>Year 14</v>
      </c>
      <c r="Y115" s="263">
        <f>IF(X115="Year 14",Y114+1,"")</f>
        <v>2025</v>
      </c>
      <c r="Z115" s="240">
        <v>1</v>
      </c>
      <c r="AA115" s="112">
        <v>0.85</v>
      </c>
      <c r="AB115" s="165"/>
      <c r="AC115" s="141"/>
      <c r="AE115" s="262" t="str">
        <f xml:space="preserve"> IF(AI89&gt;1, IF(AI89&gt;12,"Year 14",""),"")</f>
        <v>Year 14</v>
      </c>
      <c r="AF115" s="263">
        <f>IF(AE115="Year 14",AF114+1,"")</f>
        <v>2025</v>
      </c>
      <c r="AG115" s="240">
        <v>1</v>
      </c>
      <c r="AH115" s="112">
        <v>0.85</v>
      </c>
      <c r="AI115" s="165"/>
      <c r="AJ115" s="141"/>
      <c r="AL115" s="262" t="str">
        <f xml:space="preserve"> IF(AP89&gt;1, IF(AP89&gt;12,"Year 14",""),"")</f>
        <v>Year 14</v>
      </c>
      <c r="AM115" s="263">
        <f>IF(AL115="Year 14",AM114+1,"")</f>
        <v>2025</v>
      </c>
      <c r="AN115" s="240">
        <v>1</v>
      </c>
      <c r="AO115" s="112">
        <v>0.85</v>
      </c>
      <c r="AP115" s="165"/>
      <c r="AQ115" s="141"/>
      <c r="AS115" s="262" t="str">
        <f xml:space="preserve"> IF(AW89&gt;1, IF(AW89&gt;12,"Year 14",""),"")</f>
        <v>Year 14</v>
      </c>
      <c r="AT115" s="263">
        <f>IF(AS115="Year 14",AT114+1,"")</f>
        <v>2025</v>
      </c>
      <c r="AU115" s="240">
        <v>1</v>
      </c>
      <c r="AV115" s="112">
        <v>0.85</v>
      </c>
      <c r="AW115" s="165"/>
      <c r="AX115" s="141"/>
      <c r="AY115" s="155"/>
      <c r="AZ115" s="155"/>
      <c r="BA115" s="155"/>
      <c r="BB115" s="262" t="str">
        <f xml:space="preserve"> IF(BF89&gt;1, IF(BF89&gt;12,"Year 14",""),"")</f>
        <v>Year 14</v>
      </c>
      <c r="BC115" s="263">
        <f>IF(BB115="Year 14",BC114+1,"")</f>
        <v>2025</v>
      </c>
      <c r="BD115" s="240">
        <v>1</v>
      </c>
      <c r="BE115" s="112">
        <v>0.85</v>
      </c>
      <c r="BF115" s="165"/>
      <c r="BG115" s="141"/>
    </row>
    <row r="116" spans="1:59" x14ac:dyDescent="0.2">
      <c r="A116" s="96"/>
      <c r="B116" s="96"/>
      <c r="C116" s="258" t="str">
        <f xml:space="preserve"> IF(G89&gt;1, IF(G89&gt;13,"Year 15",""),"")</f>
        <v>Year 15</v>
      </c>
      <c r="D116" s="253">
        <f>IF(C116="Year 15",D115+1,"")</f>
        <v>2026</v>
      </c>
      <c r="E116" s="234">
        <v>1</v>
      </c>
      <c r="F116" s="234">
        <v>1</v>
      </c>
      <c r="G116" s="131">
        <v>0.85</v>
      </c>
      <c r="H116" s="122">
        <v>0.85</v>
      </c>
      <c r="I116" s="1" t="str">
        <f t="shared" si="13"/>
        <v xml:space="preserve"> </v>
      </c>
      <c r="J116" s="262" t="str">
        <f xml:space="preserve"> IF(N89&gt;1, IF(N89&gt;13,"Year 15",""),"")</f>
        <v>Year 15</v>
      </c>
      <c r="K116" s="263">
        <f>IF(J116="Year 15",K115+1,"")</f>
        <v>2026</v>
      </c>
      <c r="L116" s="234">
        <v>1</v>
      </c>
      <c r="M116" s="234">
        <v>1</v>
      </c>
      <c r="N116" s="131">
        <v>0.85</v>
      </c>
      <c r="O116" s="122">
        <v>0.85</v>
      </c>
      <c r="P116" s="1" t="str">
        <f t="shared" si="14"/>
        <v xml:space="preserve"> </v>
      </c>
      <c r="Q116" s="262" t="str">
        <f xml:space="preserve"> IF(U89&gt;1, IF(U89&gt;13,"Year 15",""),"")</f>
        <v>Year 15</v>
      </c>
      <c r="R116" s="263">
        <f>IF(Q116="Year 15",R115+1,"")</f>
        <v>2026</v>
      </c>
      <c r="S116" s="240">
        <v>1</v>
      </c>
      <c r="T116" s="112">
        <v>0.85</v>
      </c>
      <c r="U116" s="165"/>
      <c r="V116" s="141"/>
      <c r="X116" s="262" t="str">
        <f xml:space="preserve"> IF(AB89&gt;1, IF(AB89&gt;13,"Year 15",""),"")</f>
        <v>Year 15</v>
      </c>
      <c r="Y116" s="263">
        <f>IF(X116="Year 15",Y115+1,"")</f>
        <v>2026</v>
      </c>
      <c r="Z116" s="240">
        <v>1</v>
      </c>
      <c r="AA116" s="112">
        <v>0.85</v>
      </c>
      <c r="AB116" s="165"/>
      <c r="AC116" s="141"/>
      <c r="AE116" s="262" t="str">
        <f xml:space="preserve"> IF(AI89&gt;1, IF(AI89&gt;13,"Year 15",""),"")</f>
        <v>Year 15</v>
      </c>
      <c r="AF116" s="263">
        <f>IF(AE116="Year 15",AF115+1,"")</f>
        <v>2026</v>
      </c>
      <c r="AG116" s="240">
        <v>1</v>
      </c>
      <c r="AH116" s="112">
        <v>0.85</v>
      </c>
      <c r="AI116" s="165"/>
      <c r="AJ116" s="141"/>
      <c r="AL116" s="262" t="str">
        <f xml:space="preserve"> IF(AP89&gt;1, IF(AP89&gt;13,"Year 15",""),"")</f>
        <v>Year 15</v>
      </c>
      <c r="AM116" s="263">
        <f>IF(AL116="Year 15",AM115+1,"")</f>
        <v>2026</v>
      </c>
      <c r="AN116" s="240">
        <v>1</v>
      </c>
      <c r="AO116" s="112">
        <v>0.85</v>
      </c>
      <c r="AP116" s="165"/>
      <c r="AQ116" s="141"/>
      <c r="AS116" s="262" t="str">
        <f xml:space="preserve"> IF(AW89&gt;1, IF(AW89&gt;13,"Year 15",""),"")</f>
        <v>Year 15</v>
      </c>
      <c r="AT116" s="263">
        <f>IF(AS116="Year 15",AT115+1,"")</f>
        <v>2026</v>
      </c>
      <c r="AU116" s="240">
        <v>1</v>
      </c>
      <c r="AV116" s="112">
        <v>0.85</v>
      </c>
      <c r="AW116" s="165"/>
      <c r="AX116" s="141"/>
      <c r="AY116" s="155"/>
      <c r="AZ116" s="155"/>
      <c r="BA116" s="155"/>
      <c r="BB116" s="262" t="str">
        <f xml:space="preserve"> IF(BF89&gt;1, IF(BF89&gt;13,"Year 15",""),"")</f>
        <v>Year 15</v>
      </c>
      <c r="BC116" s="263">
        <f>IF(BB116="Year 15",BC115+1,"")</f>
        <v>2026</v>
      </c>
      <c r="BD116" s="240">
        <v>1</v>
      </c>
      <c r="BE116" s="112">
        <v>0.85</v>
      </c>
      <c r="BF116" s="165"/>
      <c r="BG116" s="141"/>
    </row>
    <row r="117" spans="1:59" x14ac:dyDescent="0.2">
      <c r="A117" s="96"/>
      <c r="B117" s="96"/>
      <c r="C117" s="258" t="str">
        <f xml:space="preserve"> IF(G89&gt;1, IF(G89&gt;14,"Year 16",""),"")</f>
        <v>Year 16</v>
      </c>
      <c r="D117" s="253">
        <f>IF(C117="Year 16",D116+1,"")</f>
        <v>2027</v>
      </c>
      <c r="E117" s="234">
        <v>1</v>
      </c>
      <c r="F117" s="234">
        <v>1</v>
      </c>
      <c r="G117" s="131">
        <v>0.85</v>
      </c>
      <c r="H117" s="122">
        <v>0.85</v>
      </c>
      <c r="I117" s="1" t="str">
        <f t="shared" si="13"/>
        <v xml:space="preserve"> </v>
      </c>
      <c r="J117" s="262" t="str">
        <f xml:space="preserve"> IF(N89&gt;1, IF(N89&gt;14,"Year 16",""),"")</f>
        <v>Year 16</v>
      </c>
      <c r="K117" s="263">
        <f>IF(J117="Year 16",K116+1,"")</f>
        <v>2027</v>
      </c>
      <c r="L117" s="234">
        <v>1</v>
      </c>
      <c r="M117" s="234">
        <v>1</v>
      </c>
      <c r="N117" s="131">
        <v>0.85</v>
      </c>
      <c r="O117" s="122">
        <v>0.85</v>
      </c>
      <c r="P117" s="1" t="str">
        <f t="shared" si="14"/>
        <v xml:space="preserve"> </v>
      </c>
      <c r="Q117" s="262" t="str">
        <f xml:space="preserve"> IF(U89&gt;1, IF(U89&gt;14,"Year 16",""),"")</f>
        <v>Year 16</v>
      </c>
      <c r="R117" s="263">
        <f>IF(Q117="Year 16",R116+1,"")</f>
        <v>2027</v>
      </c>
      <c r="S117" s="240">
        <v>1</v>
      </c>
      <c r="T117" s="112">
        <v>0.85</v>
      </c>
      <c r="U117" s="165"/>
      <c r="V117" s="141"/>
      <c r="X117" s="262" t="str">
        <f xml:space="preserve"> IF(AB89&gt;1, IF(AB89&gt;14,"Year 16",""),"")</f>
        <v>Year 16</v>
      </c>
      <c r="Y117" s="263">
        <f>IF(X117="Year 16",Y116+1,"")</f>
        <v>2027</v>
      </c>
      <c r="Z117" s="240">
        <v>1</v>
      </c>
      <c r="AA117" s="112">
        <v>0.85</v>
      </c>
      <c r="AB117" s="165"/>
      <c r="AC117" s="141"/>
      <c r="AE117" s="262" t="str">
        <f xml:space="preserve"> IF(AI89&gt;1, IF(AI89&gt;14,"Year 16",""),"")</f>
        <v>Year 16</v>
      </c>
      <c r="AF117" s="263">
        <f>IF(AE117="Year 16",AF116+1,"")</f>
        <v>2027</v>
      </c>
      <c r="AG117" s="240">
        <v>1</v>
      </c>
      <c r="AH117" s="112">
        <v>0.85</v>
      </c>
      <c r="AI117" s="165"/>
      <c r="AJ117" s="141"/>
      <c r="AL117" s="262" t="str">
        <f xml:space="preserve"> IF(AP89&gt;1, IF(AP89&gt;14,"Year 16",""),"")</f>
        <v>Year 16</v>
      </c>
      <c r="AM117" s="263">
        <f>IF(AL117="Year 16",AM116+1,"")</f>
        <v>2027</v>
      </c>
      <c r="AN117" s="240">
        <v>1</v>
      </c>
      <c r="AO117" s="112">
        <v>0.85</v>
      </c>
      <c r="AP117" s="165"/>
      <c r="AQ117" s="141"/>
      <c r="AS117" s="262" t="str">
        <f xml:space="preserve"> IF(AW89&gt;1, IF(AW89&gt;14,"Year 16",""),"")</f>
        <v>Year 16</v>
      </c>
      <c r="AT117" s="263">
        <f>IF(AS117="Year 16",AT116+1,"")</f>
        <v>2027</v>
      </c>
      <c r="AU117" s="240">
        <v>1</v>
      </c>
      <c r="AV117" s="112">
        <v>0.85</v>
      </c>
      <c r="AW117" s="165"/>
      <c r="AX117" s="141"/>
      <c r="AY117" s="155"/>
      <c r="AZ117" s="155"/>
      <c r="BA117" s="155"/>
      <c r="BB117" s="262" t="str">
        <f xml:space="preserve"> IF(BF89&gt;1, IF(BF89&gt;14,"Year 16",""),"")</f>
        <v>Year 16</v>
      </c>
      <c r="BC117" s="263">
        <f>IF(BB117="Year 16",BC116+1,"")</f>
        <v>2027</v>
      </c>
      <c r="BD117" s="240">
        <v>1</v>
      </c>
      <c r="BE117" s="112">
        <v>0.85</v>
      </c>
      <c r="BF117" s="165"/>
      <c r="BG117" s="141"/>
    </row>
    <row r="118" spans="1:59" x14ac:dyDescent="0.2">
      <c r="A118" s="96"/>
      <c r="B118" s="96"/>
      <c r="C118" s="258" t="str">
        <f xml:space="preserve"> IF(G89&gt;1, IF(G89&gt;15,"Year 17",""),"")</f>
        <v>Year 17</v>
      </c>
      <c r="D118" s="253">
        <f>IF(C118="Year 17",D117+1,"")</f>
        <v>2028</v>
      </c>
      <c r="E118" s="234">
        <v>1</v>
      </c>
      <c r="F118" s="234">
        <v>1</v>
      </c>
      <c r="G118" s="131">
        <v>0.85</v>
      </c>
      <c r="H118" s="122">
        <v>0.85</v>
      </c>
      <c r="I118" s="1" t="str">
        <f t="shared" si="13"/>
        <v xml:space="preserve"> </v>
      </c>
      <c r="J118" s="262" t="str">
        <f xml:space="preserve"> IF(N89&gt;1, IF(N89&gt;15,"Year 17",""),"")</f>
        <v>Year 17</v>
      </c>
      <c r="K118" s="263">
        <f>IF(J118="Year 17",K117+1,"")</f>
        <v>2028</v>
      </c>
      <c r="L118" s="234">
        <v>1</v>
      </c>
      <c r="M118" s="234">
        <v>1</v>
      </c>
      <c r="N118" s="131">
        <v>0.85</v>
      </c>
      <c r="O118" s="122">
        <v>0.85</v>
      </c>
      <c r="P118" s="1" t="str">
        <f t="shared" si="14"/>
        <v xml:space="preserve"> </v>
      </c>
      <c r="Q118" s="262" t="str">
        <f xml:space="preserve"> IF(U89&gt;1, IF(U89&gt;15,"Year 17",""),"")</f>
        <v>Year 17</v>
      </c>
      <c r="R118" s="263">
        <f>IF(Q118="Year 17",R117+1,"")</f>
        <v>2028</v>
      </c>
      <c r="S118" s="240">
        <v>1</v>
      </c>
      <c r="T118" s="112">
        <v>0.85</v>
      </c>
      <c r="U118" s="165"/>
      <c r="V118" s="141"/>
      <c r="X118" s="262" t="str">
        <f xml:space="preserve"> IF(AB89&gt;1, IF(AB89&gt;15,"Year 17",""),"")</f>
        <v>Year 17</v>
      </c>
      <c r="Y118" s="263">
        <f>IF(X118="Year 17",Y117+1,"")</f>
        <v>2028</v>
      </c>
      <c r="Z118" s="240">
        <v>1</v>
      </c>
      <c r="AA118" s="112">
        <v>0.85</v>
      </c>
      <c r="AB118" s="165"/>
      <c r="AC118" s="141"/>
      <c r="AE118" s="262" t="str">
        <f xml:space="preserve"> IF(AI89&gt;1, IF(AI89&gt;15,"Year 17",""),"")</f>
        <v>Year 17</v>
      </c>
      <c r="AF118" s="263">
        <f>IF(AE118="Year 17",AF117+1,"")</f>
        <v>2028</v>
      </c>
      <c r="AG118" s="240">
        <v>1</v>
      </c>
      <c r="AH118" s="112">
        <v>0.85</v>
      </c>
      <c r="AI118" s="165"/>
      <c r="AJ118" s="141"/>
      <c r="AL118" s="262" t="str">
        <f xml:space="preserve"> IF(AP89&gt;1, IF(AP89&gt;15,"Year 17",""),"")</f>
        <v>Year 17</v>
      </c>
      <c r="AM118" s="263">
        <f>IF(AL118="Year 17",AM117+1,"")</f>
        <v>2028</v>
      </c>
      <c r="AN118" s="240">
        <v>1</v>
      </c>
      <c r="AO118" s="112">
        <v>0.85</v>
      </c>
      <c r="AP118" s="165"/>
      <c r="AQ118" s="141"/>
      <c r="AS118" s="262" t="str">
        <f xml:space="preserve"> IF(AW89&gt;1, IF(AW89&gt;15,"Year 17",""),"")</f>
        <v>Year 17</v>
      </c>
      <c r="AT118" s="263">
        <f>IF(AS118="Year 17",AT117+1,"")</f>
        <v>2028</v>
      </c>
      <c r="AU118" s="240">
        <v>1</v>
      </c>
      <c r="AV118" s="112">
        <v>0.85</v>
      </c>
      <c r="AW118" s="165"/>
      <c r="AX118" s="141"/>
      <c r="AY118" s="155"/>
      <c r="AZ118" s="155"/>
      <c r="BA118" s="155"/>
      <c r="BB118" s="262" t="str">
        <f xml:space="preserve"> IF(BF89&gt;1, IF(BF89&gt;15,"Year 17",""),"")</f>
        <v>Year 17</v>
      </c>
      <c r="BC118" s="263">
        <f>IF(BB118="Year 17",BC117+1,"")</f>
        <v>2028</v>
      </c>
      <c r="BD118" s="240">
        <v>1</v>
      </c>
      <c r="BE118" s="112">
        <v>0.85</v>
      </c>
      <c r="BF118" s="165"/>
      <c r="BG118" s="141"/>
    </row>
    <row r="119" spans="1:59" x14ac:dyDescent="0.2">
      <c r="A119" s="96"/>
      <c r="B119" s="96"/>
      <c r="C119" s="258" t="str">
        <f xml:space="preserve"> IF(G89&gt;1, IF(G89&gt;16,"Year 18",""),"")</f>
        <v>Year 18</v>
      </c>
      <c r="D119" s="253">
        <f>IF(C119="Year 18",D118+1,"")</f>
        <v>2029</v>
      </c>
      <c r="E119" s="234">
        <v>1</v>
      </c>
      <c r="F119" s="234">
        <v>1</v>
      </c>
      <c r="G119" s="131">
        <v>0.85</v>
      </c>
      <c r="H119" s="122">
        <v>0.85</v>
      </c>
      <c r="I119" s="1" t="str">
        <f t="shared" si="13"/>
        <v xml:space="preserve"> </v>
      </c>
      <c r="J119" s="262" t="str">
        <f xml:space="preserve"> IF(N89&gt;1, IF(N89&gt;16,"Year 18",""),"")</f>
        <v>Year 18</v>
      </c>
      <c r="K119" s="263">
        <f>IF(J119="Year 18",K118+1,"")</f>
        <v>2029</v>
      </c>
      <c r="L119" s="234">
        <v>1</v>
      </c>
      <c r="M119" s="234">
        <v>1</v>
      </c>
      <c r="N119" s="131">
        <v>0.85</v>
      </c>
      <c r="O119" s="122">
        <v>0.85</v>
      </c>
      <c r="P119" s="1" t="str">
        <f t="shared" si="14"/>
        <v xml:space="preserve"> </v>
      </c>
      <c r="Q119" s="262" t="str">
        <f xml:space="preserve"> IF(U89&gt;1, IF(U89&gt;16,"Year 18",""),"")</f>
        <v>Year 18</v>
      </c>
      <c r="R119" s="263">
        <f>IF(Q119="Year 18",R118+1,"")</f>
        <v>2029</v>
      </c>
      <c r="S119" s="240">
        <v>1</v>
      </c>
      <c r="T119" s="112">
        <v>0.85</v>
      </c>
      <c r="U119" s="165"/>
      <c r="V119" s="141"/>
      <c r="X119" s="262" t="str">
        <f xml:space="preserve"> IF(AB89&gt;1, IF(AB89&gt;16,"Year 18",""),"")</f>
        <v>Year 18</v>
      </c>
      <c r="Y119" s="263">
        <f>IF(X119="Year 18",Y118+1,"")</f>
        <v>2029</v>
      </c>
      <c r="Z119" s="240">
        <v>1</v>
      </c>
      <c r="AA119" s="112">
        <v>0.85</v>
      </c>
      <c r="AB119" s="165"/>
      <c r="AC119" s="141"/>
      <c r="AE119" s="262" t="str">
        <f xml:space="preserve"> IF(AI89&gt;1, IF(AI89&gt;16,"Year 18",""),"")</f>
        <v>Year 18</v>
      </c>
      <c r="AF119" s="263">
        <f>IF(AE119="Year 18",AF118+1,"")</f>
        <v>2029</v>
      </c>
      <c r="AG119" s="240">
        <v>1</v>
      </c>
      <c r="AH119" s="112">
        <v>0.85</v>
      </c>
      <c r="AI119" s="165"/>
      <c r="AJ119" s="141"/>
      <c r="AL119" s="262" t="str">
        <f xml:space="preserve"> IF(AP89&gt;1, IF(AP89&gt;16,"Year 18",""),"")</f>
        <v>Year 18</v>
      </c>
      <c r="AM119" s="263">
        <f>IF(AL119="Year 18",AM118+1,"")</f>
        <v>2029</v>
      </c>
      <c r="AN119" s="240">
        <v>1</v>
      </c>
      <c r="AO119" s="112">
        <v>0.85</v>
      </c>
      <c r="AP119" s="165"/>
      <c r="AQ119" s="141"/>
      <c r="AS119" s="262" t="str">
        <f xml:space="preserve"> IF(AW89&gt;1, IF(AW89&gt;16,"Year 18",""),"")</f>
        <v>Year 18</v>
      </c>
      <c r="AT119" s="263">
        <f>IF(AS119="Year 18",AT118+1,"")</f>
        <v>2029</v>
      </c>
      <c r="AU119" s="240">
        <v>1</v>
      </c>
      <c r="AV119" s="112">
        <v>0.85</v>
      </c>
      <c r="AW119" s="165"/>
      <c r="AX119" s="141"/>
      <c r="AY119" s="155"/>
      <c r="AZ119" s="155"/>
      <c r="BA119" s="155"/>
      <c r="BB119" s="262" t="str">
        <f xml:space="preserve"> IF(BF89&gt;1, IF(BF89&gt;16,"Year 18",""),"")</f>
        <v>Year 18</v>
      </c>
      <c r="BC119" s="263">
        <f>IF(BB119="Year 18",BC118+1,"")</f>
        <v>2029</v>
      </c>
      <c r="BD119" s="240">
        <v>1</v>
      </c>
      <c r="BE119" s="112">
        <v>0.85</v>
      </c>
      <c r="BF119" s="165"/>
      <c r="BG119" s="141"/>
    </row>
    <row r="120" spans="1:59" x14ac:dyDescent="0.2">
      <c r="A120" s="96"/>
      <c r="B120" s="96"/>
      <c r="C120" s="258" t="str">
        <f xml:space="preserve"> IF(G89&gt;1, IF(G89&gt;17,"Year 19",""),"")</f>
        <v>Year 19</v>
      </c>
      <c r="D120" s="253">
        <f>IF(C120="Year 19",D119+1,"")</f>
        <v>2030</v>
      </c>
      <c r="E120" s="234">
        <v>1</v>
      </c>
      <c r="F120" s="234">
        <v>1</v>
      </c>
      <c r="G120" s="131">
        <v>0.85</v>
      </c>
      <c r="H120" s="122">
        <v>0.85</v>
      </c>
      <c r="I120" s="1" t="str">
        <f t="shared" si="13"/>
        <v xml:space="preserve"> </v>
      </c>
      <c r="J120" s="262" t="str">
        <f xml:space="preserve"> IF(N89&gt;1, IF(N89&gt;17,"Year 19",""),"")</f>
        <v>Year 19</v>
      </c>
      <c r="K120" s="263">
        <f>IF(J120="Year 19",K119+1,"")</f>
        <v>2030</v>
      </c>
      <c r="L120" s="234">
        <v>1</v>
      </c>
      <c r="M120" s="234">
        <v>1</v>
      </c>
      <c r="N120" s="131">
        <v>0.85</v>
      </c>
      <c r="O120" s="122">
        <v>0.85</v>
      </c>
      <c r="P120" s="1" t="str">
        <f t="shared" si="14"/>
        <v xml:space="preserve"> </v>
      </c>
      <c r="Q120" s="262" t="str">
        <f xml:space="preserve"> IF(U89&gt;1, IF(U89&gt;17,"Year 19",""),"")</f>
        <v>Year 19</v>
      </c>
      <c r="R120" s="263">
        <f>IF(Q120="Year 19",R119+1,"")</f>
        <v>2030</v>
      </c>
      <c r="S120" s="240">
        <v>1</v>
      </c>
      <c r="T120" s="112">
        <v>0.85</v>
      </c>
      <c r="U120" s="165"/>
      <c r="V120" s="141"/>
      <c r="X120" s="262" t="str">
        <f xml:space="preserve"> IF(AB89&gt;1, IF(AB89&gt;17,"Year 19",""),"")</f>
        <v>Year 19</v>
      </c>
      <c r="Y120" s="263">
        <f>IF(X120="Year 19",Y119+1,"")</f>
        <v>2030</v>
      </c>
      <c r="Z120" s="240">
        <v>1</v>
      </c>
      <c r="AA120" s="112">
        <v>0.85</v>
      </c>
      <c r="AB120" s="165"/>
      <c r="AC120" s="141"/>
      <c r="AE120" s="262" t="str">
        <f xml:space="preserve"> IF(AI89&gt;1, IF(AI89&gt;17,"Year 19",""),"")</f>
        <v>Year 19</v>
      </c>
      <c r="AF120" s="263">
        <f>IF(AE120="Year 19",AF119+1,"")</f>
        <v>2030</v>
      </c>
      <c r="AG120" s="240">
        <v>1</v>
      </c>
      <c r="AH120" s="112">
        <v>0.85</v>
      </c>
      <c r="AI120" s="165"/>
      <c r="AJ120" s="141"/>
      <c r="AL120" s="262" t="str">
        <f xml:space="preserve"> IF(AP89&gt;1, IF(AP89&gt;17,"Year 19",""),"")</f>
        <v>Year 19</v>
      </c>
      <c r="AM120" s="263">
        <f>IF(AL120="Year 19",AM119+1,"")</f>
        <v>2030</v>
      </c>
      <c r="AN120" s="240">
        <v>1</v>
      </c>
      <c r="AO120" s="112">
        <v>0.85</v>
      </c>
      <c r="AP120" s="165"/>
      <c r="AQ120" s="141"/>
      <c r="AS120" s="262" t="str">
        <f xml:space="preserve"> IF(AW89&gt;1, IF(AW89&gt;17,"Year 19",""),"")</f>
        <v>Year 19</v>
      </c>
      <c r="AT120" s="263">
        <f>IF(AS120="Year 19",AT119+1,"")</f>
        <v>2030</v>
      </c>
      <c r="AU120" s="240">
        <v>1</v>
      </c>
      <c r="AV120" s="112">
        <v>0.85</v>
      </c>
      <c r="AW120" s="165"/>
      <c r="AX120" s="141"/>
      <c r="AY120" s="155"/>
      <c r="AZ120" s="155"/>
      <c r="BA120" s="155"/>
      <c r="BB120" s="262" t="str">
        <f xml:space="preserve"> IF(BF89&gt;1, IF(BF89&gt;17,"Year 19",""),"")</f>
        <v>Year 19</v>
      </c>
      <c r="BC120" s="263">
        <f>IF(BB120="Year 19",BC119+1,"")</f>
        <v>2030</v>
      </c>
      <c r="BD120" s="240">
        <v>1</v>
      </c>
      <c r="BE120" s="112">
        <v>0.85</v>
      </c>
      <c r="BF120" s="165"/>
      <c r="BG120" s="141"/>
    </row>
    <row r="121" spans="1:59" x14ac:dyDescent="0.2">
      <c r="A121" s="96"/>
      <c r="B121" s="96"/>
      <c r="C121" s="258" t="str">
        <f xml:space="preserve"> IF(G89&gt;1, IF(G89&gt;18,"Year 20",""),"")</f>
        <v>Year 20</v>
      </c>
      <c r="D121" s="253">
        <f>IF(C121="Year 20",D120+1,"")</f>
        <v>2031</v>
      </c>
      <c r="E121" s="234">
        <v>1</v>
      </c>
      <c r="F121" s="234">
        <v>1</v>
      </c>
      <c r="G121" s="131">
        <v>0.85</v>
      </c>
      <c r="H121" s="122">
        <v>0.85</v>
      </c>
      <c r="I121" s="1" t="str">
        <f t="shared" si="13"/>
        <v xml:space="preserve"> </v>
      </c>
      <c r="J121" s="262" t="str">
        <f xml:space="preserve"> IF(N89&gt;1, IF(N89&gt;18,"Year 20",""),"")</f>
        <v>Year 20</v>
      </c>
      <c r="K121" s="263">
        <f>IF(J121="Year 20",K120+1,"")</f>
        <v>2031</v>
      </c>
      <c r="L121" s="234">
        <v>1</v>
      </c>
      <c r="M121" s="234">
        <v>1</v>
      </c>
      <c r="N121" s="131">
        <v>0.85</v>
      </c>
      <c r="O121" s="122">
        <v>0.85</v>
      </c>
      <c r="P121" s="1" t="str">
        <f t="shared" si="14"/>
        <v xml:space="preserve"> </v>
      </c>
      <c r="Q121" s="262" t="str">
        <f xml:space="preserve"> IF(U89&gt;1, IF(U89&gt;18,"Year 20",""),"")</f>
        <v>Year 20</v>
      </c>
      <c r="R121" s="263">
        <f>IF(Q121="Year 20",R120+1,"")</f>
        <v>2031</v>
      </c>
      <c r="S121" s="240">
        <v>1</v>
      </c>
      <c r="T121" s="112">
        <v>0.85</v>
      </c>
      <c r="U121" s="165"/>
      <c r="V121" s="141"/>
      <c r="X121" s="262" t="str">
        <f xml:space="preserve"> IF(AB89&gt;1, IF(AB89&gt;18,"Year 20",""),"")</f>
        <v>Year 20</v>
      </c>
      <c r="Y121" s="263">
        <f>IF(X121="Year 20",Y120+1,"")</f>
        <v>2031</v>
      </c>
      <c r="Z121" s="240">
        <v>1</v>
      </c>
      <c r="AA121" s="112">
        <v>0.85</v>
      </c>
      <c r="AB121" s="165"/>
      <c r="AC121" s="141"/>
      <c r="AE121" s="262" t="str">
        <f xml:space="preserve"> IF(AI89&gt;1, IF(AI89&gt;18,"Year 20",""),"")</f>
        <v>Year 20</v>
      </c>
      <c r="AF121" s="263">
        <f>IF(AE121="Year 20",AF120+1,"")</f>
        <v>2031</v>
      </c>
      <c r="AG121" s="240">
        <v>1</v>
      </c>
      <c r="AH121" s="112">
        <v>0.85</v>
      </c>
      <c r="AI121" s="165"/>
      <c r="AJ121" s="141"/>
      <c r="AL121" s="262" t="str">
        <f xml:space="preserve"> IF(AP89&gt;1, IF(AP89&gt;18,"Year 20",""),"")</f>
        <v>Year 20</v>
      </c>
      <c r="AM121" s="263">
        <f>IF(AL121="Year 20",AM120+1,"")</f>
        <v>2031</v>
      </c>
      <c r="AN121" s="240">
        <v>1</v>
      </c>
      <c r="AO121" s="112">
        <v>0.85</v>
      </c>
      <c r="AP121" s="165"/>
      <c r="AQ121" s="141"/>
      <c r="AS121" s="262" t="str">
        <f xml:space="preserve"> IF(AW89&gt;1, IF(AW89&gt;18,"Year 20",""),"")</f>
        <v>Year 20</v>
      </c>
      <c r="AT121" s="263">
        <f>IF(AS121="Year 20",AT120+1,"")</f>
        <v>2031</v>
      </c>
      <c r="AU121" s="240">
        <v>1</v>
      </c>
      <c r="AV121" s="112">
        <v>0.85</v>
      </c>
      <c r="AW121" s="165"/>
      <c r="AX121" s="141"/>
      <c r="AY121" s="155"/>
      <c r="AZ121" s="155"/>
      <c r="BA121" s="155"/>
      <c r="BB121" s="262" t="str">
        <f xml:space="preserve"> IF(BF89&gt;1, IF(BF89&gt;18,"Year 20",""),"")</f>
        <v>Year 20</v>
      </c>
      <c r="BC121" s="263">
        <f>IF(BB121="Year 20",BC120+1,"")</f>
        <v>2031</v>
      </c>
      <c r="BD121" s="240">
        <v>1</v>
      </c>
      <c r="BE121" s="112">
        <v>0.85</v>
      </c>
      <c r="BF121" s="165"/>
      <c r="BG121" s="141"/>
    </row>
    <row r="122" spans="1:59" x14ac:dyDescent="0.2">
      <c r="A122" s="96"/>
      <c r="B122" s="96"/>
      <c r="C122" s="258" t="str">
        <f xml:space="preserve"> IF(G89&gt;1, IF(G89&gt;19,"Year 21",""),"")</f>
        <v>Year 21</v>
      </c>
      <c r="D122" s="253">
        <f>IF(C122="Year 21",D121+1,"")</f>
        <v>2032</v>
      </c>
      <c r="E122" s="235">
        <v>1</v>
      </c>
      <c r="F122" s="235">
        <v>1</v>
      </c>
      <c r="G122" s="131">
        <v>0.85</v>
      </c>
      <c r="H122" s="122">
        <v>0.85</v>
      </c>
      <c r="I122" s="1" t="str">
        <f t="shared" si="13"/>
        <v xml:space="preserve"> </v>
      </c>
      <c r="J122" s="262" t="str">
        <f xml:space="preserve"> IF(N89&gt;1, IF(N89&gt;19,"Year 21",""),"")</f>
        <v>Year 21</v>
      </c>
      <c r="K122" s="263">
        <f>IF(J122="Year 21",K121+1,"")</f>
        <v>2032</v>
      </c>
      <c r="L122" s="235">
        <v>1</v>
      </c>
      <c r="M122" s="235">
        <v>1</v>
      </c>
      <c r="N122" s="131">
        <v>0.85</v>
      </c>
      <c r="O122" s="122">
        <v>0.85</v>
      </c>
      <c r="P122" s="1" t="str">
        <f t="shared" si="14"/>
        <v xml:space="preserve"> </v>
      </c>
      <c r="Q122" s="262" t="str">
        <f xml:space="preserve"> IF(U89&gt;1, IF(U89&gt;19,"Year 21",""),"")</f>
        <v>Year 21</v>
      </c>
      <c r="R122" s="263">
        <f>IF(Q122="Year 21",R121+1,"")</f>
        <v>2032</v>
      </c>
      <c r="S122" s="240">
        <v>1</v>
      </c>
      <c r="T122" s="112">
        <v>0.85</v>
      </c>
      <c r="U122" s="165"/>
      <c r="V122" s="141"/>
      <c r="X122" s="262" t="str">
        <f xml:space="preserve"> IF(AB89&gt;1, IF(AB89&gt;19,"Year 21",""),"")</f>
        <v>Year 21</v>
      </c>
      <c r="Y122" s="263">
        <f>IF(X122="Year 21",Y121+1,"")</f>
        <v>2032</v>
      </c>
      <c r="Z122" s="240">
        <v>1</v>
      </c>
      <c r="AA122" s="112">
        <v>0.85</v>
      </c>
      <c r="AB122" s="165"/>
      <c r="AC122" s="141"/>
      <c r="AE122" s="262" t="str">
        <f xml:space="preserve"> IF(AI89&gt;1, IF(AI89&gt;19,"Year 21",""),"")</f>
        <v>Year 21</v>
      </c>
      <c r="AF122" s="263">
        <f>IF(AE122="Year 21",AF121+1,"")</f>
        <v>2032</v>
      </c>
      <c r="AG122" s="240">
        <v>1</v>
      </c>
      <c r="AH122" s="112">
        <v>0.85</v>
      </c>
      <c r="AI122" s="165"/>
      <c r="AJ122" s="141"/>
      <c r="AL122" s="262" t="str">
        <f xml:space="preserve"> IF(AP89&gt;1, IF(AP89&gt;19,"Year 21",""),"")</f>
        <v>Year 21</v>
      </c>
      <c r="AM122" s="263">
        <f>IF(AL122="Year 21",AM121+1,"")</f>
        <v>2032</v>
      </c>
      <c r="AN122" s="240">
        <v>1</v>
      </c>
      <c r="AO122" s="112">
        <v>0.85</v>
      </c>
      <c r="AP122" s="165"/>
      <c r="AQ122" s="141"/>
      <c r="AS122" s="262" t="str">
        <f xml:space="preserve"> IF(AW89&gt;1, IF(AW89&gt;19,"Year 21",""),"")</f>
        <v>Year 21</v>
      </c>
      <c r="AT122" s="263">
        <f>IF(AS122="Year 21",AT121+1,"")</f>
        <v>2032</v>
      </c>
      <c r="AU122" s="240">
        <v>1</v>
      </c>
      <c r="AV122" s="112">
        <v>0.85</v>
      </c>
      <c r="AW122" s="165"/>
      <c r="AX122" s="141"/>
      <c r="AY122" s="155"/>
      <c r="AZ122" s="155"/>
      <c r="BA122" s="155"/>
      <c r="BB122" s="262" t="str">
        <f xml:space="preserve"> IF(BF89&gt;1, IF(BF89&gt;19,"Year 21",""),"")</f>
        <v>Year 21</v>
      </c>
      <c r="BC122" s="263">
        <f>IF(BB122="Year 21",BC121+1,"")</f>
        <v>2032</v>
      </c>
      <c r="BD122" s="240">
        <v>1</v>
      </c>
      <c r="BE122" s="112">
        <v>0.85</v>
      </c>
      <c r="BF122" s="165"/>
      <c r="BG122" s="141"/>
    </row>
    <row r="123" spans="1:59" x14ac:dyDescent="0.2">
      <c r="A123" s="96"/>
      <c r="B123" s="96"/>
      <c r="C123" s="258" t="str">
        <f xml:space="preserve"> IF(G89&gt;1, IF(G89&gt;20,"Year 22",""),"")</f>
        <v>Year 22</v>
      </c>
      <c r="D123" s="253">
        <f>IF(C123="Year 22",D122+1,"")</f>
        <v>2033</v>
      </c>
      <c r="E123" s="235">
        <v>1</v>
      </c>
      <c r="F123" s="235">
        <v>1</v>
      </c>
      <c r="G123" s="131">
        <v>0.85</v>
      </c>
      <c r="H123" s="122">
        <v>0.85</v>
      </c>
      <c r="I123" s="1" t="str">
        <f t="shared" si="13"/>
        <v xml:space="preserve"> </v>
      </c>
      <c r="J123" s="262" t="str">
        <f xml:space="preserve"> IF(N89&gt;1, IF(N89&gt;20,"Year 22",""),"")</f>
        <v>Year 22</v>
      </c>
      <c r="K123" s="263">
        <f>IF(J123="Year 22",K122+1,"")</f>
        <v>2033</v>
      </c>
      <c r="L123" s="235">
        <v>1</v>
      </c>
      <c r="M123" s="235">
        <v>1</v>
      </c>
      <c r="N123" s="131">
        <v>0.85</v>
      </c>
      <c r="O123" s="122">
        <v>0.85</v>
      </c>
      <c r="P123" s="1" t="str">
        <f t="shared" si="14"/>
        <v xml:space="preserve"> </v>
      </c>
      <c r="Q123" s="262" t="str">
        <f xml:space="preserve"> IF(U89&gt;1, IF(U89&gt;20,"Year 22",""),"")</f>
        <v/>
      </c>
      <c r="R123" s="263" t="str">
        <f>IF(Q123="Year 22",R122+1,"")</f>
        <v/>
      </c>
      <c r="S123" s="240">
        <v>1</v>
      </c>
      <c r="T123" s="112">
        <v>0.85</v>
      </c>
      <c r="U123" s="209"/>
      <c r="V123" s="141"/>
      <c r="X123" s="262" t="str">
        <f xml:space="preserve"> IF(AB89&gt;1, IF(AB89&gt;20,"Year 22",""),"")</f>
        <v/>
      </c>
      <c r="Y123" s="263" t="str">
        <f>IF(X123="Year 22",Y122+1,"")</f>
        <v/>
      </c>
      <c r="Z123" s="240">
        <v>1</v>
      </c>
      <c r="AA123" s="112">
        <v>0.85</v>
      </c>
      <c r="AB123" s="165"/>
      <c r="AC123" s="141"/>
      <c r="AE123" s="262" t="str">
        <f xml:space="preserve"> IF(AI89&gt;1, IF(AI89&gt;20,"Year 22",""),"")</f>
        <v>Year 22</v>
      </c>
      <c r="AF123" s="263">
        <f>IF(AE123="Year 22",AF122+1,"")</f>
        <v>2033</v>
      </c>
      <c r="AG123" s="240">
        <v>1</v>
      </c>
      <c r="AH123" s="112">
        <v>0.85</v>
      </c>
      <c r="AI123" s="165"/>
      <c r="AJ123" s="141"/>
      <c r="AL123" s="262" t="str">
        <f xml:space="preserve"> IF(AP89&gt;1, IF(AP89&gt;20,"Year 22",""),"")</f>
        <v>Year 22</v>
      </c>
      <c r="AM123" s="263">
        <f>IF(AL123="Year 22",AM122+1,"")</f>
        <v>2033</v>
      </c>
      <c r="AN123" s="240">
        <v>1</v>
      </c>
      <c r="AO123" s="112">
        <v>0.85</v>
      </c>
      <c r="AP123" s="165"/>
      <c r="AQ123" s="141"/>
      <c r="AS123" s="262" t="str">
        <f xml:space="preserve"> IF(AW89&gt;1, IF(AW89&gt;20,"Year 22",""),"")</f>
        <v>Year 22</v>
      </c>
      <c r="AT123" s="263">
        <f>IF(AS123="Year 22",AT122+1,"")</f>
        <v>2033</v>
      </c>
      <c r="AU123" s="240">
        <v>1</v>
      </c>
      <c r="AV123" s="112">
        <v>0.85</v>
      </c>
      <c r="AW123" s="165"/>
      <c r="AX123" s="141"/>
      <c r="AY123" s="155"/>
      <c r="AZ123" s="155"/>
      <c r="BA123" s="155"/>
      <c r="BB123" s="262" t="str">
        <f xml:space="preserve"> IF(BF89&gt;1, IF(BF89&gt;20,"Year 22",""),"")</f>
        <v/>
      </c>
      <c r="BC123" s="263" t="str">
        <f>IF(BB123="Year 22",BC122+1,"")</f>
        <v/>
      </c>
      <c r="BD123" s="240">
        <v>1</v>
      </c>
      <c r="BE123" s="112">
        <v>0.85</v>
      </c>
      <c r="BF123" s="209"/>
      <c r="BG123" s="141"/>
    </row>
    <row r="124" spans="1:59" x14ac:dyDescent="0.2">
      <c r="A124" s="96"/>
      <c r="B124" s="96"/>
      <c r="C124" s="258" t="str">
        <f xml:space="preserve"> IF(G89&gt;1, IF(G89&gt;21,"Year 23",""),"")</f>
        <v>Year 23</v>
      </c>
      <c r="D124" s="253">
        <f>IF(C124="Year 23",D123+1,"")</f>
        <v>2034</v>
      </c>
      <c r="E124" s="235">
        <v>1</v>
      </c>
      <c r="F124" s="235">
        <v>1</v>
      </c>
      <c r="G124" s="131">
        <v>0.85</v>
      </c>
      <c r="H124" s="122">
        <v>0.85</v>
      </c>
      <c r="I124" s="1" t="str">
        <f t="shared" si="13"/>
        <v xml:space="preserve"> </v>
      </c>
      <c r="J124" s="262" t="str">
        <f xml:space="preserve"> IF(N89&gt;1, IF(N89&gt;21,"Year 23",""),"")</f>
        <v>Year 23</v>
      </c>
      <c r="K124" s="263">
        <f>IF(J124="Year 23",K123+1,"")</f>
        <v>2034</v>
      </c>
      <c r="L124" s="235">
        <v>1</v>
      </c>
      <c r="M124" s="235">
        <v>1</v>
      </c>
      <c r="N124" s="131">
        <v>0.85</v>
      </c>
      <c r="O124" s="122">
        <v>0.85</v>
      </c>
      <c r="P124" s="1" t="str">
        <f t="shared" si="14"/>
        <v xml:space="preserve"> </v>
      </c>
      <c r="Q124" s="262" t="str">
        <f xml:space="preserve"> IF(U89&gt;1, IF(U89&gt;21,"Year 23",""),"")</f>
        <v/>
      </c>
      <c r="R124" s="263" t="str">
        <f>IF(Q124="Year 23",R123+1,"")</f>
        <v/>
      </c>
      <c r="S124" s="240">
        <v>1</v>
      </c>
      <c r="T124" s="112">
        <v>0.85</v>
      </c>
      <c r="U124" s="209"/>
      <c r="V124" s="141"/>
      <c r="X124" s="262" t="str">
        <f xml:space="preserve"> IF(AB89&gt;1, IF(AB89&gt;21,"Year 23",""),"")</f>
        <v/>
      </c>
      <c r="Y124" s="263" t="str">
        <f>IF(X124="Year 23",Y123+1,"")</f>
        <v/>
      </c>
      <c r="Z124" s="240">
        <v>1</v>
      </c>
      <c r="AA124" s="112">
        <v>0.85</v>
      </c>
      <c r="AB124" s="165"/>
      <c r="AC124" s="141"/>
      <c r="AE124" s="262" t="str">
        <f xml:space="preserve"> IF(AI89&gt;1, IF(AI89&gt;21,"Year 23",""),"")</f>
        <v>Year 23</v>
      </c>
      <c r="AF124" s="263">
        <f>IF(AE124="Year 23",AF123+1,"")</f>
        <v>2034</v>
      </c>
      <c r="AG124" s="240">
        <v>1</v>
      </c>
      <c r="AH124" s="112">
        <v>0.85</v>
      </c>
      <c r="AI124" s="165"/>
      <c r="AJ124" s="141"/>
      <c r="AL124" s="262" t="str">
        <f xml:space="preserve"> IF(AP89&gt;1, IF(AP89&gt;21,"Year 23",""),"")</f>
        <v>Year 23</v>
      </c>
      <c r="AM124" s="263">
        <f>IF(AL124="Year 23",AM123+1,"")</f>
        <v>2034</v>
      </c>
      <c r="AN124" s="240">
        <v>1</v>
      </c>
      <c r="AO124" s="112">
        <v>0.85</v>
      </c>
      <c r="AP124" s="165"/>
      <c r="AQ124" s="141"/>
      <c r="AS124" s="262" t="str">
        <f xml:space="preserve"> IF(AW89&gt;1, IF(AW89&gt;21,"Year 23",""),"")</f>
        <v>Year 23</v>
      </c>
      <c r="AT124" s="263">
        <f>IF(AS124="Year 23",AT123+1,"")</f>
        <v>2034</v>
      </c>
      <c r="AU124" s="240">
        <v>1</v>
      </c>
      <c r="AV124" s="112">
        <v>0.85</v>
      </c>
      <c r="AW124" s="165"/>
      <c r="AX124" s="141"/>
      <c r="AY124" s="155"/>
      <c r="AZ124" s="155"/>
      <c r="BA124" s="155"/>
      <c r="BB124" s="262" t="str">
        <f xml:space="preserve"> IF(BF89&gt;1, IF(BF89&gt;21,"Year 23",""),"")</f>
        <v/>
      </c>
      <c r="BC124" s="263" t="str">
        <f>IF(BB124="Year 23",BC123+1,"")</f>
        <v/>
      </c>
      <c r="BD124" s="240">
        <v>1</v>
      </c>
      <c r="BE124" s="112">
        <v>0.85</v>
      </c>
      <c r="BF124" s="209"/>
      <c r="BG124" s="141"/>
    </row>
    <row r="125" spans="1:59" x14ac:dyDescent="0.2">
      <c r="A125" s="96"/>
      <c r="B125" s="96"/>
      <c r="C125" s="258" t="str">
        <f xml:space="preserve"> IF(G89&gt;1, IF(G89&gt;22,"Year 24",""),"")</f>
        <v>Year 24</v>
      </c>
      <c r="D125" s="253">
        <f>IF(C125="Year 24",D124+1,"")</f>
        <v>2035</v>
      </c>
      <c r="E125" s="235">
        <v>1</v>
      </c>
      <c r="F125" s="235">
        <v>1</v>
      </c>
      <c r="G125" s="131">
        <v>0.85</v>
      </c>
      <c r="H125" s="122">
        <v>0.85</v>
      </c>
      <c r="I125" s="1" t="str">
        <f t="shared" si="13"/>
        <v xml:space="preserve"> </v>
      </c>
      <c r="J125" s="262" t="str">
        <f xml:space="preserve"> IF(N89&gt;1, IF(N89&gt;22,"Year 24",""),"")</f>
        <v>Year 24</v>
      </c>
      <c r="K125" s="263">
        <f>IF(J125="Year 24",K124+1,"")</f>
        <v>2035</v>
      </c>
      <c r="L125" s="235">
        <v>1</v>
      </c>
      <c r="M125" s="235">
        <v>1</v>
      </c>
      <c r="N125" s="131">
        <v>0.85</v>
      </c>
      <c r="O125" s="122">
        <v>0.85</v>
      </c>
      <c r="P125" s="1" t="str">
        <f t="shared" si="14"/>
        <v xml:space="preserve"> </v>
      </c>
      <c r="Q125" s="262" t="str">
        <f xml:space="preserve"> IF(U89&gt;1, IF(U89&gt;22,"Year 24",""),"")</f>
        <v/>
      </c>
      <c r="R125" s="263" t="str">
        <f>IF(Q125="Year 24",R124+1,"")</f>
        <v/>
      </c>
      <c r="S125" s="240">
        <v>1</v>
      </c>
      <c r="T125" s="112">
        <v>0.85</v>
      </c>
      <c r="U125" s="209"/>
      <c r="V125" s="141"/>
      <c r="X125" s="262" t="str">
        <f xml:space="preserve"> IF(AB89&gt;1, IF(AB89&gt;22,"Year 24",""),"")</f>
        <v/>
      </c>
      <c r="Y125" s="263" t="str">
        <f>IF(X125="Year 24",Y124+1,"")</f>
        <v/>
      </c>
      <c r="Z125" s="240">
        <v>1</v>
      </c>
      <c r="AA125" s="112">
        <v>0.85</v>
      </c>
      <c r="AB125" s="165"/>
      <c r="AC125" s="141"/>
      <c r="AE125" s="262" t="str">
        <f xml:space="preserve"> IF(AI89&gt;1, IF(AI89&gt;22,"Year 24",""),"")</f>
        <v>Year 24</v>
      </c>
      <c r="AF125" s="263">
        <f>IF(AE125="Year 24",AF124+1,"")</f>
        <v>2035</v>
      </c>
      <c r="AG125" s="240">
        <v>1</v>
      </c>
      <c r="AH125" s="112">
        <v>0.85</v>
      </c>
      <c r="AI125" s="165"/>
      <c r="AJ125" s="141"/>
      <c r="AL125" s="262" t="str">
        <f xml:space="preserve"> IF(AP89&gt;1, IF(AP89&gt;22,"Year 24",""),"")</f>
        <v>Year 24</v>
      </c>
      <c r="AM125" s="263">
        <f>IF(AL125="Year 24",AM124+1,"")</f>
        <v>2035</v>
      </c>
      <c r="AN125" s="240">
        <v>1</v>
      </c>
      <c r="AO125" s="112">
        <v>0.85</v>
      </c>
      <c r="AP125" s="165"/>
      <c r="AQ125" s="141"/>
      <c r="AS125" s="262" t="str">
        <f xml:space="preserve"> IF(AW89&gt;1, IF(AW89&gt;22,"Year 24",""),"")</f>
        <v>Year 24</v>
      </c>
      <c r="AT125" s="263">
        <f>IF(AS125="Year 24",AT124+1,"")</f>
        <v>2035</v>
      </c>
      <c r="AU125" s="240">
        <v>1</v>
      </c>
      <c r="AV125" s="112">
        <v>0.85</v>
      </c>
      <c r="AW125" s="165"/>
      <c r="AX125" s="141"/>
      <c r="AY125" s="155"/>
      <c r="AZ125" s="155"/>
      <c r="BA125" s="155"/>
      <c r="BB125" s="262" t="str">
        <f xml:space="preserve"> IF(BF89&gt;1, IF(BF89&gt;22,"Year 24",""),"")</f>
        <v/>
      </c>
      <c r="BC125" s="263" t="str">
        <f>IF(BB125="Year 24",BC124+1,"")</f>
        <v/>
      </c>
      <c r="BD125" s="240">
        <v>1</v>
      </c>
      <c r="BE125" s="112">
        <v>0.85</v>
      </c>
      <c r="BF125" s="209"/>
      <c r="BG125" s="141"/>
    </row>
    <row r="126" spans="1:59" x14ac:dyDescent="0.2">
      <c r="A126" s="96"/>
      <c r="B126" s="96"/>
      <c r="C126" s="258" t="str">
        <f xml:space="preserve"> IF(G89&gt;1, IF(G89&gt;23,"Year 25",""),"")</f>
        <v>Year 25</v>
      </c>
      <c r="D126" s="253">
        <f>IF(C126="Year 25",D125+1,"")</f>
        <v>2036</v>
      </c>
      <c r="E126" s="235">
        <v>1</v>
      </c>
      <c r="F126" s="235">
        <v>1</v>
      </c>
      <c r="G126" s="131">
        <v>0.85</v>
      </c>
      <c r="H126" s="122">
        <v>0.85</v>
      </c>
      <c r="I126" s="1" t="str">
        <f t="shared" si="13"/>
        <v xml:space="preserve"> </v>
      </c>
      <c r="J126" s="262" t="str">
        <f xml:space="preserve"> IF(N89&gt;1, IF(N89&gt;23,"Year 25",""),"")</f>
        <v>Year 25</v>
      </c>
      <c r="K126" s="263">
        <f>IF(J126="Year 25",K125+1,"")</f>
        <v>2036</v>
      </c>
      <c r="L126" s="235">
        <v>1</v>
      </c>
      <c r="M126" s="235">
        <v>1</v>
      </c>
      <c r="N126" s="131">
        <v>0.85</v>
      </c>
      <c r="O126" s="122">
        <v>0.85</v>
      </c>
      <c r="P126" s="1" t="str">
        <f t="shared" si="14"/>
        <v xml:space="preserve"> </v>
      </c>
      <c r="Q126" s="262" t="str">
        <f xml:space="preserve"> IF(U89&gt;1, IF(U89&gt;23,"Year 25",""),"")</f>
        <v/>
      </c>
      <c r="R126" s="263" t="str">
        <f>IF(Q126="Year 25",R125+1,"")</f>
        <v/>
      </c>
      <c r="S126" s="240">
        <v>1</v>
      </c>
      <c r="T126" s="112">
        <v>0.85</v>
      </c>
      <c r="U126" s="209"/>
      <c r="V126" s="141"/>
      <c r="X126" s="262" t="str">
        <f xml:space="preserve"> IF(AB89&gt;1, IF(AB89&gt;23,"Year 25",""),"")</f>
        <v/>
      </c>
      <c r="Y126" s="263" t="str">
        <f>IF(X126="Year 25",Y125+1,"")</f>
        <v/>
      </c>
      <c r="Z126" s="240">
        <v>1</v>
      </c>
      <c r="AA126" s="112">
        <v>0.85</v>
      </c>
      <c r="AB126" s="165"/>
      <c r="AC126" s="141"/>
      <c r="AE126" s="262" t="str">
        <f xml:space="preserve"> IF(AI89&gt;1, IF(AI89&gt;23,"Year 25",""),"")</f>
        <v>Year 25</v>
      </c>
      <c r="AF126" s="263">
        <f>IF(AE126="Year 25",AF125+1,"")</f>
        <v>2036</v>
      </c>
      <c r="AG126" s="240">
        <v>1</v>
      </c>
      <c r="AH126" s="112">
        <v>0.85</v>
      </c>
      <c r="AI126" s="165"/>
      <c r="AJ126" s="141"/>
      <c r="AL126" s="262" t="str">
        <f xml:space="preserve"> IF(AP89&gt;1, IF(AP89&gt;23,"Year 25",""),"")</f>
        <v>Year 25</v>
      </c>
      <c r="AM126" s="263">
        <f>IF(AL126="Year 25",AM125+1,"")</f>
        <v>2036</v>
      </c>
      <c r="AN126" s="240">
        <v>1</v>
      </c>
      <c r="AO126" s="112">
        <v>0.85</v>
      </c>
      <c r="AP126" s="165"/>
      <c r="AQ126" s="141"/>
      <c r="AS126" s="262" t="str">
        <f xml:space="preserve"> IF(AW89&gt;1, IF(AW89&gt;23,"Year 25",""),"")</f>
        <v>Year 25</v>
      </c>
      <c r="AT126" s="263">
        <f>IF(AS126="Year 25",AT125+1,"")</f>
        <v>2036</v>
      </c>
      <c r="AU126" s="240">
        <v>1</v>
      </c>
      <c r="AV126" s="112">
        <v>0.85</v>
      </c>
      <c r="AW126" s="165"/>
      <c r="AX126" s="141"/>
      <c r="AY126" s="155"/>
      <c r="AZ126" s="155"/>
      <c r="BA126" s="155"/>
      <c r="BB126" s="262" t="str">
        <f xml:space="preserve"> IF(BF89&gt;1, IF(BF89&gt;23,"Year 25",""),"")</f>
        <v/>
      </c>
      <c r="BC126" s="263" t="str">
        <f>IF(BB126="Year 25",BC125+1,"")</f>
        <v/>
      </c>
      <c r="BD126" s="240">
        <v>1</v>
      </c>
      <c r="BE126" s="112">
        <v>0.85</v>
      </c>
      <c r="BF126" s="209"/>
      <c r="BG126" s="141"/>
    </row>
    <row r="127" spans="1:59" x14ac:dyDescent="0.2">
      <c r="A127" s="96"/>
      <c r="B127" s="96"/>
      <c r="C127" s="258" t="str">
        <f xml:space="preserve"> IF(G89&gt;1, IF(G89&gt;24,"Year 26",""),"")</f>
        <v>Year 26</v>
      </c>
      <c r="D127" s="253">
        <f>IF(C127="Year 26",D126+1,"")</f>
        <v>2037</v>
      </c>
      <c r="E127" s="235">
        <v>1</v>
      </c>
      <c r="F127" s="235">
        <v>1</v>
      </c>
      <c r="G127" s="131">
        <v>0.85</v>
      </c>
      <c r="H127" s="122">
        <v>0.85</v>
      </c>
      <c r="I127" s="1" t="str">
        <f t="shared" si="13"/>
        <v xml:space="preserve"> </v>
      </c>
      <c r="J127" s="262" t="str">
        <f xml:space="preserve"> IF(N89&gt;1, IF(N89&gt;24,"Year 26",""),"")</f>
        <v>Year 26</v>
      </c>
      <c r="K127" s="263">
        <f>IF(J127="Year 26",K126+1,"")</f>
        <v>2037</v>
      </c>
      <c r="L127" s="235">
        <v>1</v>
      </c>
      <c r="M127" s="235">
        <v>1</v>
      </c>
      <c r="N127" s="131">
        <v>0.85</v>
      </c>
      <c r="O127" s="122">
        <v>0.85</v>
      </c>
      <c r="P127" s="1" t="str">
        <f t="shared" si="14"/>
        <v xml:space="preserve"> </v>
      </c>
      <c r="Q127" s="262" t="str">
        <f xml:space="preserve"> IF(U89&gt;1, IF(U89&gt;24,"Year 26",""),"")</f>
        <v/>
      </c>
      <c r="R127" s="263" t="str">
        <f>IF(Q127="Year 26",R126+1,"")</f>
        <v/>
      </c>
      <c r="S127" s="240">
        <v>1</v>
      </c>
      <c r="T127" s="112">
        <v>0.85</v>
      </c>
      <c r="U127" s="209"/>
      <c r="V127" s="141"/>
      <c r="X127" s="262" t="str">
        <f xml:space="preserve"> IF(AB89&gt;1, IF(AB89&gt;24,"Year 26",""),"")</f>
        <v/>
      </c>
      <c r="Y127" s="263" t="str">
        <f>IF(X127="Year 26",Y126+1,"")</f>
        <v/>
      </c>
      <c r="Z127" s="240">
        <v>1</v>
      </c>
      <c r="AA127" s="112">
        <v>0.85</v>
      </c>
      <c r="AB127" s="165"/>
      <c r="AC127" s="141"/>
      <c r="AE127" s="262" t="str">
        <f xml:space="preserve"> IF(AI89&gt;1, IF(AI89&gt;24,"Year 26",""),"")</f>
        <v>Year 26</v>
      </c>
      <c r="AF127" s="263">
        <f>IF(AE127="Year 26",AF126+1,"")</f>
        <v>2037</v>
      </c>
      <c r="AG127" s="240">
        <v>1</v>
      </c>
      <c r="AH127" s="112">
        <v>0.85</v>
      </c>
      <c r="AI127" s="165"/>
      <c r="AJ127" s="141"/>
      <c r="AL127" s="262" t="str">
        <f xml:space="preserve"> IF(AP89&gt;1, IF(AP89&gt;24,"Year 26",""),"")</f>
        <v>Year 26</v>
      </c>
      <c r="AM127" s="263">
        <f>IF(AL127="Year 26",AM126+1,"")</f>
        <v>2037</v>
      </c>
      <c r="AN127" s="240">
        <v>1</v>
      </c>
      <c r="AO127" s="112">
        <v>0.85</v>
      </c>
      <c r="AP127" s="165"/>
      <c r="AQ127" s="141"/>
      <c r="AS127" s="262" t="str">
        <f xml:space="preserve"> IF(AW89&gt;1, IF(AW89&gt;24,"Year 26",""),"")</f>
        <v>Year 26</v>
      </c>
      <c r="AT127" s="263">
        <f>IF(AS127="Year 26",AT126+1,"")</f>
        <v>2037</v>
      </c>
      <c r="AU127" s="240">
        <v>1</v>
      </c>
      <c r="AV127" s="112">
        <v>0.85</v>
      </c>
      <c r="AW127" s="165"/>
      <c r="AX127" s="141"/>
      <c r="AY127" s="155"/>
      <c r="AZ127" s="155"/>
      <c r="BA127" s="155"/>
      <c r="BB127" s="262" t="str">
        <f xml:space="preserve"> IF(BF89&gt;1, IF(BF89&gt;24,"Year 26",""),"")</f>
        <v/>
      </c>
      <c r="BC127" s="263" t="str">
        <f>IF(BB127="Year 26",BC126+1,"")</f>
        <v/>
      </c>
      <c r="BD127" s="240">
        <v>1</v>
      </c>
      <c r="BE127" s="112">
        <v>0.85</v>
      </c>
      <c r="BF127" s="209"/>
      <c r="BG127" s="141"/>
    </row>
    <row r="128" spans="1:59" x14ac:dyDescent="0.2">
      <c r="A128" s="96"/>
      <c r="B128" s="96"/>
      <c r="C128" s="258" t="str">
        <f xml:space="preserve"> IF(G89&gt;1, IF(G89&gt;25,"Year 27",""),"")</f>
        <v>Year 27</v>
      </c>
      <c r="D128" s="253">
        <f>IF(C128="Year 27",D127+1,"")</f>
        <v>2038</v>
      </c>
      <c r="E128" s="236">
        <v>1</v>
      </c>
      <c r="F128" s="235">
        <v>1</v>
      </c>
      <c r="G128" s="131">
        <v>0.85</v>
      </c>
      <c r="H128" s="122">
        <v>0.85</v>
      </c>
      <c r="I128" s="1" t="str">
        <f t="shared" si="13"/>
        <v xml:space="preserve"> </v>
      </c>
      <c r="J128" s="262" t="str">
        <f xml:space="preserve"> IF(N89&gt;1, IF(N89&gt;25,"Year 27",""),"")</f>
        <v>Year 27</v>
      </c>
      <c r="K128" s="263">
        <f>IF(J128="Year 27",K127+1,"")</f>
        <v>2038</v>
      </c>
      <c r="L128" s="236">
        <v>1</v>
      </c>
      <c r="M128" s="235">
        <v>1</v>
      </c>
      <c r="N128" s="131">
        <v>0.85</v>
      </c>
      <c r="O128" s="122">
        <v>0.85</v>
      </c>
      <c r="P128" s="1" t="str">
        <f t="shared" si="14"/>
        <v xml:space="preserve"> </v>
      </c>
      <c r="Q128" s="262" t="str">
        <f xml:space="preserve"> IF(U89&gt;1, IF(U89&gt;25,"Year 27",""),"")</f>
        <v/>
      </c>
      <c r="R128" s="263" t="str">
        <f>IF(Q128="Year 27",R127+1,"")</f>
        <v/>
      </c>
      <c r="S128" s="240">
        <v>1</v>
      </c>
      <c r="T128" s="112">
        <v>0.85</v>
      </c>
      <c r="U128" s="210"/>
      <c r="V128" s="141"/>
      <c r="X128" s="262" t="str">
        <f xml:space="preserve"> IF(AB89&gt;1, IF(AB89&gt;25,"Year 27",""),"")</f>
        <v/>
      </c>
      <c r="Y128" s="263" t="str">
        <f>IF(X128="Year 27",Y127+1,"")</f>
        <v/>
      </c>
      <c r="Z128" s="240">
        <v>1</v>
      </c>
      <c r="AA128" s="112">
        <v>0.85</v>
      </c>
      <c r="AB128" s="166"/>
      <c r="AC128" s="141"/>
      <c r="AE128" s="262" t="str">
        <f xml:space="preserve"> IF(AI89&gt;1, IF(AI89&gt;25,"Year 27",""),"")</f>
        <v>Year 27</v>
      </c>
      <c r="AF128" s="263">
        <f>IF(AE128="Year 27",AF127+1,"")</f>
        <v>2038</v>
      </c>
      <c r="AG128" s="240">
        <v>1</v>
      </c>
      <c r="AH128" s="112">
        <v>0.85</v>
      </c>
      <c r="AI128" s="166"/>
      <c r="AJ128" s="141"/>
      <c r="AL128" s="262" t="str">
        <f xml:space="preserve"> IF(AP89&gt;1, IF(AP89&gt;25,"Year 27",""),"")</f>
        <v>Year 27</v>
      </c>
      <c r="AM128" s="263">
        <f>IF(AL128="Year 27",AM127+1,"")</f>
        <v>2038</v>
      </c>
      <c r="AN128" s="240">
        <v>1</v>
      </c>
      <c r="AO128" s="112">
        <v>0.85</v>
      </c>
      <c r="AP128" s="166"/>
      <c r="AQ128" s="141"/>
      <c r="AS128" s="262" t="str">
        <f xml:space="preserve"> IF(AW89&gt;1, IF(AW89&gt;25,"Year 27",""),"")</f>
        <v>Year 27</v>
      </c>
      <c r="AT128" s="263">
        <f>IF(AS128="Year 27",AT127+1,"")</f>
        <v>2038</v>
      </c>
      <c r="AU128" s="240">
        <v>1</v>
      </c>
      <c r="AV128" s="112">
        <v>0.85</v>
      </c>
      <c r="AW128" s="166"/>
      <c r="AX128" s="141"/>
      <c r="AY128" s="155"/>
      <c r="AZ128" s="102"/>
      <c r="BA128" s="102"/>
      <c r="BB128" s="262" t="str">
        <f xml:space="preserve"> IF(BF89&gt;1, IF(BF89&gt;25,"Year 27",""),"")</f>
        <v/>
      </c>
      <c r="BC128" s="263" t="str">
        <f>IF(BB128="Year 27",BC127+1,"")</f>
        <v/>
      </c>
      <c r="BD128" s="240">
        <v>1</v>
      </c>
      <c r="BE128" s="112">
        <v>0.85</v>
      </c>
      <c r="BF128" s="210"/>
      <c r="BG128" s="141"/>
    </row>
    <row r="129" spans="1:59" x14ac:dyDescent="0.2">
      <c r="A129" s="96"/>
      <c r="B129" s="96"/>
      <c r="C129" s="258" t="str">
        <f xml:space="preserve"> IF(G89&gt;1, IF(G89&gt;26,"Year 28",""),"")</f>
        <v>Year 28</v>
      </c>
      <c r="D129" s="253">
        <f>IF(C129="Year 28",D128+1,"")</f>
        <v>2039</v>
      </c>
      <c r="E129" s="236">
        <v>1</v>
      </c>
      <c r="F129" s="235">
        <v>1</v>
      </c>
      <c r="G129" s="131">
        <v>0.85</v>
      </c>
      <c r="H129" s="122">
        <v>0.85</v>
      </c>
      <c r="I129" s="1" t="str">
        <f t="shared" si="13"/>
        <v xml:space="preserve"> </v>
      </c>
      <c r="J129" s="262" t="str">
        <f xml:space="preserve"> IF(N89&gt;1, IF(N89&gt;26,"Year 28",""),"")</f>
        <v>Year 28</v>
      </c>
      <c r="K129" s="263">
        <f>IF(J129="Year 28",K128+1,"")</f>
        <v>2039</v>
      </c>
      <c r="L129" s="236">
        <v>1</v>
      </c>
      <c r="M129" s="235">
        <v>1</v>
      </c>
      <c r="N129" s="131">
        <v>0.85</v>
      </c>
      <c r="O129" s="122">
        <v>0.85</v>
      </c>
      <c r="P129" s="1" t="str">
        <f t="shared" si="14"/>
        <v xml:space="preserve"> </v>
      </c>
      <c r="Q129" s="262" t="str">
        <f xml:space="preserve"> IF(U89&gt;1, IF(U89&gt;26,"Year 28",""),"")</f>
        <v/>
      </c>
      <c r="R129" s="263" t="str">
        <f>IF(Q129="Year 28",R128+1,"")</f>
        <v/>
      </c>
      <c r="S129" s="240">
        <v>1</v>
      </c>
      <c r="T129" s="112">
        <v>0.85</v>
      </c>
      <c r="U129" s="210"/>
      <c r="V129" s="141"/>
      <c r="X129" s="262" t="str">
        <f xml:space="preserve"> IF(AB89&gt;1, IF(AB89&gt;26,"Year 28",""),"")</f>
        <v/>
      </c>
      <c r="Y129" s="263" t="str">
        <f>IF(X129="Year 28",Y128+1,"")</f>
        <v/>
      </c>
      <c r="Z129" s="240">
        <v>1</v>
      </c>
      <c r="AA129" s="112">
        <v>0.85</v>
      </c>
      <c r="AB129" s="166"/>
      <c r="AC129" s="141"/>
      <c r="AE129" s="262" t="str">
        <f xml:space="preserve"> IF(AI89&gt;1, IF(AI89&gt;26,"Year 28",""),"")</f>
        <v>Year 28</v>
      </c>
      <c r="AF129" s="263">
        <f>IF(AE129="Year 28",AF128+1,"")</f>
        <v>2039</v>
      </c>
      <c r="AG129" s="240">
        <v>1</v>
      </c>
      <c r="AH129" s="112">
        <v>0.85</v>
      </c>
      <c r="AI129" s="166"/>
      <c r="AJ129" s="141"/>
      <c r="AL129" s="262" t="str">
        <f xml:space="preserve"> IF(AP89&gt;1, IF(AP89&gt;26,"Year 28",""),"")</f>
        <v>Year 28</v>
      </c>
      <c r="AM129" s="263">
        <f>IF(AL129="Year 28",AM128+1,"")</f>
        <v>2039</v>
      </c>
      <c r="AN129" s="240">
        <v>1</v>
      </c>
      <c r="AO129" s="112">
        <v>0.85</v>
      </c>
      <c r="AP129" s="166"/>
      <c r="AQ129" s="141"/>
      <c r="AS129" s="262" t="str">
        <f xml:space="preserve"> IF(AW89&gt;1, IF(AW89&gt;26,"Year 28",""),"")</f>
        <v>Year 28</v>
      </c>
      <c r="AT129" s="263">
        <f>IF(AS129="Year 28",AT128+1,"")</f>
        <v>2039</v>
      </c>
      <c r="AU129" s="240">
        <v>1</v>
      </c>
      <c r="AV129" s="112">
        <v>0.85</v>
      </c>
      <c r="AW129" s="166"/>
      <c r="AX129" s="141"/>
      <c r="AY129" s="155"/>
      <c r="AZ129" s="102"/>
      <c r="BA129" s="102"/>
      <c r="BB129" s="262" t="str">
        <f xml:space="preserve"> IF(BF89&gt;1, IF(BF89&gt;26,"Year 28",""),"")</f>
        <v/>
      </c>
      <c r="BC129" s="263" t="str">
        <f>IF(BB129="Year 28",BC128+1,"")</f>
        <v/>
      </c>
      <c r="BD129" s="240">
        <v>1</v>
      </c>
      <c r="BE129" s="112">
        <v>0.85</v>
      </c>
      <c r="BF129" s="210"/>
      <c r="BG129" s="141"/>
    </row>
    <row r="130" spans="1:59" x14ac:dyDescent="0.2">
      <c r="A130" s="96"/>
      <c r="B130" s="96"/>
      <c r="C130" s="258" t="str">
        <f xml:space="preserve"> IF(G89&gt;1, IF(G89&gt;27,"Year 29",""),"")</f>
        <v>Year 29</v>
      </c>
      <c r="D130" s="253">
        <f>IF(C130="Year 29",D129+1,"")</f>
        <v>2040</v>
      </c>
      <c r="E130" s="236">
        <v>1</v>
      </c>
      <c r="F130" s="235">
        <v>1</v>
      </c>
      <c r="G130" s="131">
        <v>0.85</v>
      </c>
      <c r="H130" s="122">
        <v>0.85</v>
      </c>
      <c r="I130" s="1" t="str">
        <f t="shared" si="13"/>
        <v xml:space="preserve"> </v>
      </c>
      <c r="J130" s="262" t="str">
        <f xml:space="preserve"> IF(N89&gt;1, IF(N89&gt;27,"Year 29",""),"")</f>
        <v>Year 29</v>
      </c>
      <c r="K130" s="263">
        <f>IF(J130="Year 29",K129+1,"")</f>
        <v>2040</v>
      </c>
      <c r="L130" s="236">
        <v>1</v>
      </c>
      <c r="M130" s="235">
        <v>1</v>
      </c>
      <c r="N130" s="131">
        <v>0.85</v>
      </c>
      <c r="O130" s="122">
        <v>0.85</v>
      </c>
      <c r="P130" s="1" t="str">
        <f t="shared" si="14"/>
        <v xml:space="preserve"> </v>
      </c>
      <c r="Q130" s="262" t="str">
        <f xml:space="preserve"> IF(U89&gt;1, IF(U89&gt;27,"Year 29",""),"")</f>
        <v/>
      </c>
      <c r="R130" s="263" t="str">
        <f>IF(Q130="Year 29",R129+1,"")</f>
        <v/>
      </c>
      <c r="S130" s="240">
        <v>1</v>
      </c>
      <c r="T130" s="112">
        <v>0.85</v>
      </c>
      <c r="U130" s="210"/>
      <c r="V130" s="141"/>
      <c r="X130" s="262" t="str">
        <f xml:space="preserve"> IF(AB89&gt;1, IF(AB89&gt;27,"Year 29",""),"")</f>
        <v/>
      </c>
      <c r="Y130" s="263" t="str">
        <f>IF(X130="Year 29",Y129+1,"")</f>
        <v/>
      </c>
      <c r="Z130" s="240">
        <v>1</v>
      </c>
      <c r="AA130" s="112">
        <v>0.85</v>
      </c>
      <c r="AB130" s="166"/>
      <c r="AC130" s="141"/>
      <c r="AE130" s="262" t="str">
        <f xml:space="preserve"> IF(AI89&gt;1, IF(AI89&gt;27,"Year 29",""),"")</f>
        <v>Year 29</v>
      </c>
      <c r="AF130" s="263">
        <f>IF(AE130="Year 29",AF129+1,"")</f>
        <v>2040</v>
      </c>
      <c r="AG130" s="240">
        <v>1</v>
      </c>
      <c r="AH130" s="112">
        <v>0.85</v>
      </c>
      <c r="AI130" s="166"/>
      <c r="AJ130" s="141"/>
      <c r="AL130" s="262" t="str">
        <f xml:space="preserve"> IF(AP89&gt;1, IF(AP89&gt;27,"Year 29",""),"")</f>
        <v>Year 29</v>
      </c>
      <c r="AM130" s="263">
        <f>IF(AL130="Year 29",AM129+1,"")</f>
        <v>2040</v>
      </c>
      <c r="AN130" s="240">
        <v>1</v>
      </c>
      <c r="AO130" s="112">
        <v>0.85</v>
      </c>
      <c r="AP130" s="166"/>
      <c r="AQ130" s="141"/>
      <c r="AS130" s="262" t="str">
        <f xml:space="preserve"> IF(AW89&gt;1, IF(AW89&gt;27,"Year 29",""),"")</f>
        <v>Year 29</v>
      </c>
      <c r="AT130" s="263">
        <f>IF(AS130="Year 29",AT129+1,"")</f>
        <v>2040</v>
      </c>
      <c r="AU130" s="240">
        <v>1</v>
      </c>
      <c r="AV130" s="112">
        <v>0.85</v>
      </c>
      <c r="AW130" s="166"/>
      <c r="AX130" s="141"/>
      <c r="AY130" s="155"/>
      <c r="AZ130" s="102"/>
      <c r="BA130" s="102"/>
      <c r="BB130" s="262" t="str">
        <f xml:space="preserve"> IF(BF89&gt;1, IF(BF89&gt;27,"Year 29",""),"")</f>
        <v/>
      </c>
      <c r="BC130" s="263" t="str">
        <f>IF(BB130="Year 29",BC129+1,"")</f>
        <v/>
      </c>
      <c r="BD130" s="240">
        <v>1</v>
      </c>
      <c r="BE130" s="112">
        <v>0.85</v>
      </c>
      <c r="BF130" s="210"/>
      <c r="BG130" s="141"/>
    </row>
    <row r="131" spans="1:59" x14ac:dyDescent="0.2">
      <c r="A131" s="96"/>
      <c r="B131" s="96"/>
      <c r="C131" s="258" t="str">
        <f xml:space="preserve"> IF(G89&gt;1, IF(G89&gt;28,"Year 30",""),"")</f>
        <v>Year 30</v>
      </c>
      <c r="D131" s="253">
        <f>IF(C131="Year 30",D130+1,"")</f>
        <v>2041</v>
      </c>
      <c r="E131" s="236">
        <v>1</v>
      </c>
      <c r="F131" s="235">
        <v>1</v>
      </c>
      <c r="G131" s="131">
        <v>0.85</v>
      </c>
      <c r="H131" s="122">
        <v>0.85</v>
      </c>
      <c r="I131" s="1" t="str">
        <f t="shared" si="13"/>
        <v xml:space="preserve"> </v>
      </c>
      <c r="J131" s="262" t="str">
        <f xml:space="preserve"> IF(N89&gt;1, IF(N89&gt;28,"Year 30",""),"")</f>
        <v>Year 30</v>
      </c>
      <c r="K131" s="263">
        <f>IF(J131="Year 30",K130+1,"")</f>
        <v>2041</v>
      </c>
      <c r="L131" s="236">
        <v>1</v>
      </c>
      <c r="M131" s="235">
        <v>1</v>
      </c>
      <c r="N131" s="131">
        <v>0.85</v>
      </c>
      <c r="O131" s="122">
        <v>0.85</v>
      </c>
      <c r="P131" s="1" t="str">
        <f t="shared" si="14"/>
        <v xml:space="preserve"> </v>
      </c>
      <c r="Q131" s="262" t="str">
        <f xml:space="preserve"> IF(U89&gt;1, IF(U89&gt;28,"Year 30",""),"")</f>
        <v/>
      </c>
      <c r="R131" s="263" t="str">
        <f>IF(Q131="Year 30",R130+1,"")</f>
        <v/>
      </c>
      <c r="S131" s="240">
        <v>1</v>
      </c>
      <c r="T131" s="112">
        <v>0.85</v>
      </c>
      <c r="U131" s="210"/>
      <c r="V131" s="141"/>
      <c r="X131" s="262" t="str">
        <f xml:space="preserve"> IF(AB89&gt;1, IF(AB89&gt;28,"Year 30",""),"")</f>
        <v/>
      </c>
      <c r="Y131" s="263" t="str">
        <f>IF(X131="Year 30",Y130+1,"")</f>
        <v/>
      </c>
      <c r="Z131" s="240">
        <v>1</v>
      </c>
      <c r="AA131" s="112">
        <v>0.85</v>
      </c>
      <c r="AB131" s="166"/>
      <c r="AC131" s="141"/>
      <c r="AE131" s="262" t="str">
        <f xml:space="preserve"> IF(AI89&gt;1, IF(AI89&gt;28,"Year 30",""),"")</f>
        <v>Year 30</v>
      </c>
      <c r="AF131" s="263">
        <f>IF(AE131="Year 30",AF130+1,"")</f>
        <v>2041</v>
      </c>
      <c r="AG131" s="240">
        <v>1</v>
      </c>
      <c r="AH131" s="112">
        <v>0.85</v>
      </c>
      <c r="AI131" s="166"/>
      <c r="AJ131" s="141"/>
      <c r="AL131" s="262" t="str">
        <f xml:space="preserve"> IF(AP89&gt;1, IF(AP89&gt;28,"Year 30",""),"")</f>
        <v>Year 30</v>
      </c>
      <c r="AM131" s="263">
        <f>IF(AL131="Year 30",AM130+1,"")</f>
        <v>2041</v>
      </c>
      <c r="AN131" s="240">
        <v>1</v>
      </c>
      <c r="AO131" s="112">
        <v>0.85</v>
      </c>
      <c r="AP131" s="166"/>
      <c r="AQ131" s="141"/>
      <c r="AS131" s="262" t="str">
        <f xml:space="preserve"> IF(AW89&gt;1, IF(AW89&gt;28,"Year 30",""),"")</f>
        <v>Year 30</v>
      </c>
      <c r="AT131" s="263">
        <f>IF(AS131="Year 30",AT130+1,"")</f>
        <v>2041</v>
      </c>
      <c r="AU131" s="240">
        <v>1</v>
      </c>
      <c r="AV131" s="112">
        <v>0.85</v>
      </c>
      <c r="AW131" s="166"/>
      <c r="AX131" s="141"/>
      <c r="AY131" s="155"/>
      <c r="AZ131" s="102"/>
      <c r="BA131" s="102"/>
      <c r="BB131" s="262" t="str">
        <f xml:space="preserve"> IF(BF89&gt;1, IF(BF89&gt;28,"Year 30",""),"")</f>
        <v/>
      </c>
      <c r="BC131" s="263" t="str">
        <f>IF(BB131="Year 30",BC130+1,"")</f>
        <v/>
      </c>
      <c r="BD131" s="240">
        <v>1</v>
      </c>
      <c r="BE131" s="112">
        <v>0.85</v>
      </c>
      <c r="BF131" s="210"/>
      <c r="BG131" s="141"/>
    </row>
    <row r="132" spans="1:59" ht="13.5" thickBot="1" x14ac:dyDescent="0.25">
      <c r="A132" s="96"/>
      <c r="B132" s="96"/>
      <c r="C132" s="259" t="str">
        <f xml:space="preserve"> IF(G89&gt;1, IF(G89&gt;29,"Year 31",""),"")</f>
        <v>Year 31</v>
      </c>
      <c r="D132" s="255">
        <f>IF(C132="Year 31",D131+1,"")</f>
        <v>2042</v>
      </c>
      <c r="E132" s="237">
        <v>1</v>
      </c>
      <c r="F132" s="238">
        <v>1</v>
      </c>
      <c r="G132" s="201">
        <v>0.85</v>
      </c>
      <c r="H132" s="191">
        <v>0.85</v>
      </c>
      <c r="I132" s="1" t="str">
        <f t="shared" si="13"/>
        <v xml:space="preserve"> </v>
      </c>
      <c r="J132" s="264" t="str">
        <f xml:space="preserve"> IF(N89&gt;1, IF(N89&gt;29,"Year 31",""),"")</f>
        <v>Year 31</v>
      </c>
      <c r="K132" s="265">
        <f>IF(J132="Year 31",K131+1,"")</f>
        <v>2042</v>
      </c>
      <c r="L132" s="237">
        <v>1</v>
      </c>
      <c r="M132" s="238">
        <v>1</v>
      </c>
      <c r="N132" s="201">
        <v>0.85</v>
      </c>
      <c r="O132" s="191">
        <v>0.85</v>
      </c>
      <c r="P132" s="1" t="str">
        <f t="shared" si="14"/>
        <v xml:space="preserve"> </v>
      </c>
      <c r="Q132" s="264" t="str">
        <f xml:space="preserve"> IF(U89&gt;1, IF(U89&gt;29,"Year 31",""),"")</f>
        <v/>
      </c>
      <c r="R132" s="265" t="str">
        <f>IF(Q132="Year 31",R131+1,"")</f>
        <v/>
      </c>
      <c r="S132" s="241">
        <v>1</v>
      </c>
      <c r="T132" s="196">
        <v>0.85</v>
      </c>
      <c r="U132" s="211"/>
      <c r="V132" s="193"/>
      <c r="X132" s="264" t="str">
        <f xml:space="preserve"> IF(AB89&gt;1, IF(AB89&gt;29,"Year 31",""),"")</f>
        <v/>
      </c>
      <c r="Y132" s="265" t="str">
        <f>IF(X132="Year 31",Y131+1,"")</f>
        <v/>
      </c>
      <c r="Z132" s="241">
        <v>1</v>
      </c>
      <c r="AA132" s="196">
        <v>0.85</v>
      </c>
      <c r="AB132" s="167"/>
      <c r="AC132" s="193"/>
      <c r="AE132" s="264" t="str">
        <f xml:space="preserve"> IF(AI89&gt;1, IF(AI89&gt;29,"Year 31",""),"")</f>
        <v>Year 31</v>
      </c>
      <c r="AF132" s="265">
        <f>IF(AE132="Year 31",AF131+1,"")</f>
        <v>2042</v>
      </c>
      <c r="AG132" s="241">
        <v>1</v>
      </c>
      <c r="AH132" s="196">
        <v>0.85</v>
      </c>
      <c r="AI132" s="167"/>
      <c r="AJ132" s="193"/>
      <c r="AL132" s="264" t="str">
        <f xml:space="preserve"> IF(AP89&gt;1, IF(AP89&gt;29,"Year 31",""),"")</f>
        <v>Year 31</v>
      </c>
      <c r="AM132" s="265">
        <f>IF(AL132="Year 31",AM131+1,"")</f>
        <v>2042</v>
      </c>
      <c r="AN132" s="241">
        <v>1</v>
      </c>
      <c r="AO132" s="196">
        <v>0.85</v>
      </c>
      <c r="AP132" s="167"/>
      <c r="AQ132" s="193"/>
      <c r="AS132" s="264" t="str">
        <f xml:space="preserve"> IF(AW89&gt;1, IF(AW89&gt;29,"Year 31",""),"")</f>
        <v>Year 31</v>
      </c>
      <c r="AT132" s="265">
        <f>IF(AS132="Year 31",AT131+1,"")</f>
        <v>2042</v>
      </c>
      <c r="AU132" s="241">
        <v>1</v>
      </c>
      <c r="AV132" s="196">
        <v>0.85</v>
      </c>
      <c r="AW132" s="167"/>
      <c r="AX132" s="193"/>
      <c r="AY132" s="102"/>
      <c r="AZ132" s="102"/>
      <c r="BA132" s="102"/>
      <c r="BB132" s="264" t="str">
        <f xml:space="preserve"> IF(BF89&gt;1, IF(BF89&gt;29,"Year 31",""),"")</f>
        <v/>
      </c>
      <c r="BC132" s="265" t="str">
        <f>IF(BB132="Year 31",BC131+1,"")</f>
        <v/>
      </c>
      <c r="BD132" s="241">
        <v>1</v>
      </c>
      <c r="BE132" s="196">
        <v>0.85</v>
      </c>
      <c r="BF132" s="211"/>
      <c r="BG132" s="193"/>
    </row>
    <row r="133" spans="1:59" x14ac:dyDescent="0.2">
      <c r="B133" t="str">
        <f xml:space="preserve"> IF(G89&gt;1, IF(G89&gt;30,"Year 32",""),"")</f>
        <v/>
      </c>
      <c r="AM133" s="102"/>
      <c r="AN133" s="102"/>
      <c r="AO133" s="102"/>
      <c r="AP133" s="102"/>
      <c r="AQ133" s="102"/>
      <c r="AR133" s="102"/>
      <c r="AS133" s="102"/>
    </row>
    <row r="134" spans="1:59" ht="12.75" hidden="1" customHeight="1" x14ac:dyDescent="0.2">
      <c r="B134" t="str">
        <f xml:space="preserve"> IF(G89&gt;1, IF(G89&gt;33,"Year 35",""),"")</f>
        <v/>
      </c>
      <c r="AM134" s="102"/>
      <c r="AN134" s="102"/>
      <c r="AO134" s="102"/>
      <c r="AP134" s="102"/>
      <c r="AQ134" s="102"/>
      <c r="AR134" s="102"/>
      <c r="AS134" s="102"/>
    </row>
    <row r="135" spans="1:59" ht="12.75" hidden="1" customHeight="1" x14ac:dyDescent="0.2">
      <c r="AM135" s="102"/>
      <c r="AN135" s="102"/>
      <c r="AO135" s="102"/>
      <c r="AP135" s="102"/>
      <c r="AQ135" s="102"/>
      <c r="AR135" s="102"/>
      <c r="AS135" s="102"/>
    </row>
    <row r="136" spans="1:59" ht="12.75" hidden="1" customHeight="1" x14ac:dyDescent="0.2">
      <c r="AM136" s="102"/>
      <c r="AN136" s="102"/>
      <c r="AO136" s="102"/>
      <c r="AP136" s="102"/>
      <c r="AQ136" s="102"/>
      <c r="AR136" s="102"/>
      <c r="AS136" s="102"/>
    </row>
    <row r="137" spans="1:59" ht="12.75" hidden="1" customHeight="1" x14ac:dyDescent="0.2"/>
    <row r="138" spans="1:59" ht="12.75" hidden="1" customHeight="1" x14ac:dyDescent="0.2"/>
    <row r="139" spans="1:59" ht="12.75" hidden="1" customHeight="1" x14ac:dyDescent="0.2">
      <c r="U139" s="294"/>
      <c r="V139" s="295"/>
    </row>
    <row r="140" spans="1:59" ht="12.75" hidden="1" customHeight="1" x14ac:dyDescent="0.2"/>
    <row r="141" spans="1:59" ht="12.75" hidden="1" customHeight="1" x14ac:dyDescent="0.2"/>
    <row r="142" spans="1:59" ht="12.75" hidden="1" customHeight="1" x14ac:dyDescent="0.2"/>
    <row r="143" spans="1:59" ht="12.75" hidden="1" customHeight="1" x14ac:dyDescent="0.2"/>
    <row r="144" spans="1:59" ht="12.75" hidden="1" customHeight="1" x14ac:dyDescent="0.2"/>
    <row r="145" ht="12.75" hidden="1" customHeight="1" x14ac:dyDescent="0.2"/>
    <row r="146" ht="12.75" hidden="1" customHeight="1" x14ac:dyDescent="0.2"/>
    <row r="147" ht="12.75" hidden="1" customHeight="1" x14ac:dyDescent="0.2"/>
    <row r="148" ht="12.75" hidden="1" customHeight="1" x14ac:dyDescent="0.2"/>
    <row r="149" ht="13.5" hidden="1" customHeight="1" thickBot="1" x14ac:dyDescent="0.25"/>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3.5" hidden="1" customHeight="1" thickBot="1" x14ac:dyDescent="0.25"/>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spans="11:19" ht="12.75" hidden="1" customHeight="1" x14ac:dyDescent="0.2"/>
    <row r="194" spans="11:19" ht="12.75" hidden="1" customHeight="1" x14ac:dyDescent="0.2"/>
    <row r="195" spans="11:19" ht="12.75" hidden="1" customHeight="1" x14ac:dyDescent="0.2"/>
    <row r="196" spans="11:19" ht="12.75" hidden="1" customHeight="1" x14ac:dyDescent="0.2"/>
    <row r="197" spans="11:19" ht="12.75" hidden="1" customHeight="1" x14ac:dyDescent="0.2"/>
    <row r="198" spans="11:19" ht="12.75" hidden="1" customHeight="1" x14ac:dyDescent="0.2">
      <c r="S198" s="146"/>
    </row>
    <row r="199" spans="11:19" ht="12.75" hidden="1" customHeight="1" x14ac:dyDescent="0.2"/>
    <row r="200" spans="11:19" ht="12.75" hidden="1" customHeight="1" x14ac:dyDescent="0.2"/>
    <row r="201" spans="11:19" ht="12.75" hidden="1" customHeight="1" x14ac:dyDescent="0.2"/>
    <row r="202" spans="11:19" ht="12.75" hidden="1" customHeight="1" x14ac:dyDescent="0.2"/>
    <row r="203" spans="11:19" ht="12.75" hidden="1" customHeight="1" x14ac:dyDescent="0.2"/>
    <row r="204" spans="11:19" ht="12.75" hidden="1" customHeight="1" x14ac:dyDescent="0.2"/>
    <row r="205" spans="11:19" ht="12.75" hidden="1" customHeight="1" x14ac:dyDescent="0.2"/>
    <row r="206" spans="11:19" ht="12.75" hidden="1" customHeight="1" x14ac:dyDescent="0.2"/>
    <row r="207" spans="11:19" ht="13.5" hidden="1" customHeight="1" thickBot="1" x14ac:dyDescent="0.25">
      <c r="K207" s="147"/>
    </row>
    <row r="208" spans="11:19" ht="12.75" hidden="1" customHeight="1" x14ac:dyDescent="0.2"/>
    <row r="209" ht="12.75" hidden="1" customHeight="1" x14ac:dyDescent="0.2"/>
    <row r="210" ht="12.75" hidden="1" customHeight="1" x14ac:dyDescent="0.2"/>
    <row r="211" ht="12.75" hidden="1" customHeight="1" x14ac:dyDescent="0.2"/>
    <row r="212" ht="13.5" hidden="1" customHeight="1" thickBot="1" x14ac:dyDescent="0.25"/>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3.5" hidden="1" customHeight="1" thickBot="1" x14ac:dyDescent="0.25"/>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3.5" hidden="1" customHeight="1" thickBot="1" x14ac:dyDescent="0.25"/>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spans="3:3" hidden="1" x14ac:dyDescent="0.2"/>
    <row r="290" spans="3:3" hidden="1" x14ac:dyDescent="0.2"/>
    <row r="291" spans="3:3" hidden="1" x14ac:dyDescent="0.2"/>
    <row r="292" spans="3:3" hidden="1" x14ac:dyDescent="0.2"/>
    <row r="293" spans="3:3" hidden="1" x14ac:dyDescent="0.2"/>
    <row r="294" spans="3:3" s="181" customFormat="1" hidden="1" x14ac:dyDescent="0.2">
      <c r="C294" s="180"/>
    </row>
    <row r="295" spans="3:3" s="181" customFormat="1" hidden="1" x14ac:dyDescent="0.2">
      <c r="C295" s="180"/>
    </row>
    <row r="296" spans="3:3" s="181" customFormat="1" hidden="1" x14ac:dyDescent="0.2">
      <c r="C296" s="180"/>
    </row>
    <row r="297" spans="3:3" s="181" customFormat="1" hidden="1" x14ac:dyDescent="0.2">
      <c r="C297" s="180"/>
    </row>
    <row r="298" spans="3:3" s="181" customFormat="1" hidden="1" x14ac:dyDescent="0.2">
      <c r="C298" s="180"/>
    </row>
    <row r="299" spans="3:3" s="181" customFormat="1" hidden="1" x14ac:dyDescent="0.2">
      <c r="C299" s="180"/>
    </row>
    <row r="300" spans="3:3" s="181" customFormat="1" hidden="1" x14ac:dyDescent="0.2">
      <c r="C300" s="180"/>
    </row>
    <row r="301" spans="3:3" s="181" customFormat="1" hidden="1" x14ac:dyDescent="0.2">
      <c r="C301" s="180"/>
    </row>
    <row r="302" spans="3:3" s="181" customFormat="1" hidden="1" x14ac:dyDescent="0.2">
      <c r="C302" s="180"/>
    </row>
    <row r="303" spans="3:3" s="181" customFormat="1" hidden="1" x14ac:dyDescent="0.2">
      <c r="C303" s="180"/>
    </row>
    <row r="304" spans="3:3" s="181" customFormat="1" hidden="1" x14ac:dyDescent="0.2">
      <c r="C304" s="180"/>
    </row>
    <row r="305" spans="3:3" s="181" customFormat="1" hidden="1" x14ac:dyDescent="0.2">
      <c r="C305" s="180"/>
    </row>
    <row r="306" spans="3:3" s="181" customFormat="1" hidden="1" x14ac:dyDescent="0.2">
      <c r="C306" s="180"/>
    </row>
    <row r="307" spans="3:3" s="181" customFormat="1" hidden="1" x14ac:dyDescent="0.2">
      <c r="C307" s="180"/>
    </row>
    <row r="308" spans="3:3" s="181" customFormat="1" hidden="1" x14ac:dyDescent="0.2">
      <c r="C308" s="180"/>
    </row>
    <row r="309" spans="3:3" s="181" customFormat="1" hidden="1" x14ac:dyDescent="0.2">
      <c r="C309" s="180"/>
    </row>
    <row r="310" spans="3:3" s="181" customFormat="1" hidden="1" x14ac:dyDescent="0.2">
      <c r="C310" s="180"/>
    </row>
    <row r="311" spans="3:3" s="181" customFormat="1" hidden="1" x14ac:dyDescent="0.2">
      <c r="C311" s="180"/>
    </row>
    <row r="312" spans="3:3" s="181" customFormat="1" hidden="1" x14ac:dyDescent="0.2">
      <c r="C312" s="180"/>
    </row>
    <row r="313" spans="3:3" s="181" customFormat="1" hidden="1" x14ac:dyDescent="0.2">
      <c r="C313" s="180"/>
    </row>
    <row r="314" spans="3:3" s="181" customFormat="1" hidden="1" x14ac:dyDescent="0.2">
      <c r="C314" s="180"/>
    </row>
    <row r="315" spans="3:3" s="181" customFormat="1" hidden="1" x14ac:dyDescent="0.2">
      <c r="C315" s="180"/>
    </row>
    <row r="316" spans="3:3" s="181" customFormat="1" hidden="1" x14ac:dyDescent="0.2">
      <c r="C316" s="180"/>
    </row>
    <row r="317" spans="3:3" s="181" customFormat="1" hidden="1" x14ac:dyDescent="0.2">
      <c r="C317" s="180"/>
    </row>
    <row r="318" spans="3:3" s="181" customFormat="1" hidden="1" x14ac:dyDescent="0.2">
      <c r="C318" s="180"/>
    </row>
    <row r="319" spans="3:3" s="181" customFormat="1" hidden="1" x14ac:dyDescent="0.2">
      <c r="C319" s="180"/>
    </row>
    <row r="320" spans="3:3" s="181" customFormat="1" hidden="1" x14ac:dyDescent="0.2">
      <c r="C320" s="180"/>
    </row>
    <row r="321" spans="3:3" s="181" customFormat="1" hidden="1" x14ac:dyDescent="0.2">
      <c r="C321" s="180"/>
    </row>
    <row r="322" spans="3:3" s="181" customFormat="1" hidden="1" x14ac:dyDescent="0.2">
      <c r="C322" s="180"/>
    </row>
    <row r="323" spans="3:3" s="181" customFormat="1" hidden="1" x14ac:dyDescent="0.2">
      <c r="C323" s="180"/>
    </row>
    <row r="324" spans="3:3" s="181" customFormat="1" hidden="1" x14ac:dyDescent="0.2">
      <c r="C324" s="180"/>
    </row>
    <row r="325" spans="3:3" s="181" customFormat="1" hidden="1" x14ac:dyDescent="0.2">
      <c r="C325" s="180"/>
    </row>
    <row r="326" spans="3:3" s="181" customFormat="1" hidden="1" x14ac:dyDescent="0.2">
      <c r="C326" s="180"/>
    </row>
    <row r="327" spans="3:3" s="181" customFormat="1" ht="36.75" hidden="1" customHeight="1" x14ac:dyDescent="0.2">
      <c r="C327" s="180"/>
    </row>
    <row r="328" spans="3:3" s="181" customFormat="1" ht="36.75" hidden="1" customHeight="1" x14ac:dyDescent="0.2">
      <c r="C328" s="180"/>
    </row>
    <row r="329" spans="3:3" s="181" customFormat="1" hidden="1" x14ac:dyDescent="0.2">
      <c r="C329" s="180"/>
    </row>
    <row r="330" spans="3:3" s="181" customFormat="1" hidden="1" x14ac:dyDescent="0.2">
      <c r="C330" s="180"/>
    </row>
    <row r="331" spans="3:3" s="181" customFormat="1" hidden="1" x14ac:dyDescent="0.2">
      <c r="C331" s="180"/>
    </row>
    <row r="332" spans="3:3" s="181" customFormat="1" hidden="1" x14ac:dyDescent="0.2">
      <c r="C332" s="180"/>
    </row>
    <row r="333" spans="3:3" s="181" customFormat="1" hidden="1" x14ac:dyDescent="0.2">
      <c r="C333" s="180"/>
    </row>
    <row r="334" spans="3:3" s="181" customFormat="1" hidden="1" x14ac:dyDescent="0.2">
      <c r="C334" s="180"/>
    </row>
    <row r="335" spans="3:3" s="181" customFormat="1" hidden="1" x14ac:dyDescent="0.2">
      <c r="C335" s="180"/>
    </row>
    <row r="336" spans="3:3" s="181" customFormat="1" hidden="1" x14ac:dyDescent="0.2">
      <c r="C336" s="180"/>
    </row>
    <row r="337" spans="3:3" s="181" customFormat="1" hidden="1" x14ac:dyDescent="0.2">
      <c r="C337" s="180"/>
    </row>
    <row r="338" spans="3:3" s="181" customFormat="1" hidden="1" x14ac:dyDescent="0.2">
      <c r="C338" s="180"/>
    </row>
    <row r="339" spans="3:3" s="181" customFormat="1" hidden="1" x14ac:dyDescent="0.2">
      <c r="C339" s="180"/>
    </row>
    <row r="340" spans="3:3" s="181" customFormat="1" hidden="1" x14ac:dyDescent="0.2">
      <c r="C340" s="180"/>
    </row>
    <row r="341" spans="3:3" s="181" customFormat="1" hidden="1" x14ac:dyDescent="0.2">
      <c r="C341" s="180"/>
    </row>
    <row r="342" spans="3:3" s="181" customFormat="1" hidden="1" x14ac:dyDescent="0.2">
      <c r="C342" s="180"/>
    </row>
    <row r="343" spans="3:3" s="181" customFormat="1" hidden="1" x14ac:dyDescent="0.2">
      <c r="C343" s="180"/>
    </row>
    <row r="344" spans="3:3" s="181" customFormat="1" hidden="1" x14ac:dyDescent="0.2">
      <c r="C344" s="180"/>
    </row>
    <row r="345" spans="3:3" s="181" customFormat="1" hidden="1" x14ac:dyDescent="0.2">
      <c r="C345" s="180"/>
    </row>
    <row r="346" spans="3:3" s="181" customFormat="1" hidden="1" x14ac:dyDescent="0.2">
      <c r="C346" s="180"/>
    </row>
    <row r="347" spans="3:3" s="181" customFormat="1" hidden="1" x14ac:dyDescent="0.2">
      <c r="C347" s="180"/>
    </row>
    <row r="348" spans="3:3" s="181" customFormat="1" hidden="1" x14ac:dyDescent="0.2">
      <c r="C348" s="180"/>
    </row>
    <row r="349" spans="3:3" s="181" customFormat="1" hidden="1" x14ac:dyDescent="0.2">
      <c r="C349" s="180"/>
    </row>
    <row r="350" spans="3:3" s="181" customFormat="1" hidden="1" x14ac:dyDescent="0.2">
      <c r="C350" s="180"/>
    </row>
    <row r="351" spans="3:3" s="181" customFormat="1" hidden="1" x14ac:dyDescent="0.2">
      <c r="C351" s="180"/>
    </row>
    <row r="352" spans="3:3" s="181" customFormat="1" hidden="1" x14ac:dyDescent="0.2">
      <c r="C352" s="180"/>
    </row>
    <row r="353" spans="3:3" s="181" customFormat="1" hidden="1" x14ac:dyDescent="0.2">
      <c r="C353" s="180"/>
    </row>
    <row r="354" spans="3:3" s="181" customFormat="1" hidden="1" x14ac:dyDescent="0.2">
      <c r="C354" s="180"/>
    </row>
    <row r="355" spans="3:3" s="181" customFormat="1" hidden="1" x14ac:dyDescent="0.2">
      <c r="C355" s="180"/>
    </row>
    <row r="356" spans="3:3" s="181" customFormat="1" hidden="1" x14ac:dyDescent="0.2">
      <c r="C356" s="180"/>
    </row>
    <row r="357" spans="3:3" s="181" customFormat="1" hidden="1" x14ac:dyDescent="0.2">
      <c r="C357" s="180"/>
    </row>
    <row r="358" spans="3:3" s="181" customFormat="1" hidden="1" x14ac:dyDescent="0.2">
      <c r="C358" s="180"/>
    </row>
    <row r="359" spans="3:3" s="181" customFormat="1" hidden="1" x14ac:dyDescent="0.2">
      <c r="C359" s="180"/>
    </row>
    <row r="360" spans="3:3" s="181" customFormat="1" hidden="1" x14ac:dyDescent="0.2">
      <c r="C360" s="180"/>
    </row>
    <row r="361" spans="3:3" s="181" customFormat="1" hidden="1" x14ac:dyDescent="0.2">
      <c r="C361" s="180"/>
    </row>
    <row r="362" spans="3:3" s="181" customFormat="1" hidden="1" x14ac:dyDescent="0.2">
      <c r="C362" s="180"/>
    </row>
    <row r="363" spans="3:3" s="181" customFormat="1" hidden="1" x14ac:dyDescent="0.2">
      <c r="C363" s="180"/>
    </row>
    <row r="364" spans="3:3" s="181" customFormat="1" hidden="1" x14ac:dyDescent="0.2">
      <c r="C364" s="180"/>
    </row>
    <row r="365" spans="3:3" s="181" customFormat="1" hidden="1" x14ac:dyDescent="0.2">
      <c r="C365" s="180"/>
    </row>
    <row r="366" spans="3:3" s="181" customFormat="1" hidden="1" x14ac:dyDescent="0.2">
      <c r="C366" s="180"/>
    </row>
    <row r="367" spans="3:3" s="181" customFormat="1" hidden="1" x14ac:dyDescent="0.2">
      <c r="C367" s="180"/>
    </row>
    <row r="368" spans="3:3" s="181" customFormat="1" hidden="1" x14ac:dyDescent="0.2">
      <c r="C368" s="180"/>
    </row>
    <row r="369" spans="3:3" s="181" customFormat="1" hidden="1" x14ac:dyDescent="0.2">
      <c r="C369" s="180"/>
    </row>
    <row r="370" spans="3:3" s="181" customFormat="1" hidden="1" x14ac:dyDescent="0.2">
      <c r="C370" s="180"/>
    </row>
    <row r="371" spans="3:3" s="181" customFormat="1" hidden="1" x14ac:dyDescent="0.2">
      <c r="C371" s="180"/>
    </row>
    <row r="372" spans="3:3" s="181" customFormat="1" hidden="1" x14ac:dyDescent="0.2">
      <c r="C372" s="180"/>
    </row>
    <row r="373" spans="3:3" s="181" customFormat="1" hidden="1" x14ac:dyDescent="0.2">
      <c r="C373" s="180"/>
    </row>
    <row r="374" spans="3:3" s="181" customFormat="1" hidden="1" x14ac:dyDescent="0.2">
      <c r="C374" s="180"/>
    </row>
    <row r="375" spans="3:3" s="181" customFormat="1" hidden="1" x14ac:dyDescent="0.2">
      <c r="C375" s="180"/>
    </row>
    <row r="376" spans="3:3" s="181" customFormat="1" hidden="1" x14ac:dyDescent="0.2">
      <c r="C376" s="180"/>
    </row>
    <row r="377" spans="3:3" s="181" customFormat="1" hidden="1" x14ac:dyDescent="0.2">
      <c r="C377" s="180"/>
    </row>
    <row r="378" spans="3:3" s="181" customFormat="1" hidden="1" x14ac:dyDescent="0.2">
      <c r="C378" s="180"/>
    </row>
    <row r="379" spans="3:3" s="181" customFormat="1" hidden="1" x14ac:dyDescent="0.2">
      <c r="C379" s="180"/>
    </row>
    <row r="380" spans="3:3" s="181" customFormat="1" hidden="1" x14ac:dyDescent="0.2">
      <c r="C380" s="180"/>
    </row>
    <row r="381" spans="3:3" s="181" customFormat="1" hidden="1" x14ac:dyDescent="0.2">
      <c r="C381" s="180"/>
    </row>
    <row r="382" spans="3:3" s="181" customFormat="1" hidden="1" x14ac:dyDescent="0.2">
      <c r="C382" s="180"/>
    </row>
    <row r="383" spans="3:3" s="181" customFormat="1" hidden="1" x14ac:dyDescent="0.2">
      <c r="C383" s="180"/>
    </row>
    <row r="384" spans="3:3" s="181" customFormat="1" hidden="1" x14ac:dyDescent="0.2">
      <c r="C384" s="180"/>
    </row>
    <row r="385" spans="3:3" s="181" customFormat="1" hidden="1" x14ac:dyDescent="0.2">
      <c r="C385" s="180"/>
    </row>
    <row r="386" spans="3:3" s="181" customFormat="1" hidden="1" x14ac:dyDescent="0.2">
      <c r="C386" s="180"/>
    </row>
    <row r="387" spans="3:3" s="181" customFormat="1" hidden="1" x14ac:dyDescent="0.2">
      <c r="C387" s="180"/>
    </row>
    <row r="388" spans="3:3" s="181" customFormat="1" hidden="1" x14ac:dyDescent="0.2">
      <c r="C388" s="180"/>
    </row>
    <row r="389" spans="3:3" s="181" customFormat="1" hidden="1" x14ac:dyDescent="0.2">
      <c r="C389" s="180"/>
    </row>
    <row r="390" spans="3:3" s="181" customFormat="1" hidden="1" x14ac:dyDescent="0.2">
      <c r="C390" s="180"/>
    </row>
    <row r="391" spans="3:3" s="181" customFormat="1" hidden="1" x14ac:dyDescent="0.2">
      <c r="C391" s="180"/>
    </row>
    <row r="392" spans="3:3" s="181" customFormat="1" hidden="1" x14ac:dyDescent="0.2">
      <c r="C392" s="180"/>
    </row>
    <row r="393" spans="3:3" s="181" customFormat="1" hidden="1" x14ac:dyDescent="0.2">
      <c r="C393" s="180"/>
    </row>
    <row r="394" spans="3:3" s="181" customFormat="1" hidden="1" x14ac:dyDescent="0.2">
      <c r="C394" s="180"/>
    </row>
    <row r="395" spans="3:3" s="181" customFormat="1" hidden="1" x14ac:dyDescent="0.2">
      <c r="C395" s="180"/>
    </row>
    <row r="396" spans="3:3" s="181" customFormat="1" hidden="1" x14ac:dyDescent="0.2">
      <c r="C396" s="180"/>
    </row>
    <row r="397" spans="3:3" s="181" customFormat="1" hidden="1" x14ac:dyDescent="0.2">
      <c r="C397" s="180"/>
    </row>
    <row r="398" spans="3:3" s="181" customFormat="1" hidden="1" x14ac:dyDescent="0.2">
      <c r="C398" s="180"/>
    </row>
    <row r="399" spans="3:3" s="181" customFormat="1" hidden="1" x14ac:dyDescent="0.2">
      <c r="C399" s="180"/>
    </row>
    <row r="400" spans="3:3" s="181" customFormat="1" hidden="1" x14ac:dyDescent="0.2">
      <c r="C400" s="180"/>
    </row>
    <row r="401" spans="3:3" s="181" customFormat="1" hidden="1" x14ac:dyDescent="0.2">
      <c r="C401" s="180"/>
    </row>
    <row r="402" spans="3:3" s="181" customFormat="1" hidden="1" x14ac:dyDescent="0.2">
      <c r="C402" s="180"/>
    </row>
    <row r="403" spans="3:3" s="181" customFormat="1" hidden="1" x14ac:dyDescent="0.2">
      <c r="C403" s="180"/>
    </row>
    <row r="404" spans="3:3" s="181" customFormat="1" hidden="1" x14ac:dyDescent="0.2">
      <c r="C404" s="180"/>
    </row>
    <row r="405" spans="3:3" s="181" customFormat="1" hidden="1" x14ac:dyDescent="0.2">
      <c r="C405" s="180"/>
    </row>
    <row r="406" spans="3:3" s="181" customFormat="1" hidden="1" x14ac:dyDescent="0.2">
      <c r="C406" s="180"/>
    </row>
    <row r="407" spans="3:3" s="181" customFormat="1" hidden="1" x14ac:dyDescent="0.2">
      <c r="C407" s="180"/>
    </row>
    <row r="408" spans="3:3" s="181" customFormat="1" hidden="1" x14ac:dyDescent="0.2">
      <c r="C408" s="180"/>
    </row>
    <row r="409" spans="3:3" s="181" customFormat="1" hidden="1" x14ac:dyDescent="0.2">
      <c r="C409" s="180"/>
    </row>
    <row r="410" spans="3:3" s="181" customFormat="1" hidden="1" x14ac:dyDescent="0.2">
      <c r="C410" s="180"/>
    </row>
    <row r="411" spans="3:3" s="181" customFormat="1" hidden="1" x14ac:dyDescent="0.2">
      <c r="C411" s="180"/>
    </row>
    <row r="412" spans="3:3" s="181" customFormat="1" hidden="1" x14ac:dyDescent="0.2">
      <c r="C412" s="180"/>
    </row>
    <row r="413" spans="3:3" s="181" customFormat="1" hidden="1" x14ac:dyDescent="0.2">
      <c r="C413" s="180"/>
    </row>
    <row r="414" spans="3:3" s="181" customFormat="1" hidden="1" x14ac:dyDescent="0.2">
      <c r="C414" s="180"/>
    </row>
    <row r="415" spans="3:3" s="181" customFormat="1" hidden="1" x14ac:dyDescent="0.2">
      <c r="C415" s="180"/>
    </row>
    <row r="416" spans="3:3" s="181" customFormat="1" hidden="1" x14ac:dyDescent="0.2">
      <c r="C416" s="180"/>
    </row>
    <row r="417" spans="3:3" s="181" customFormat="1" hidden="1" x14ac:dyDescent="0.2">
      <c r="C417" s="180"/>
    </row>
    <row r="418" spans="3:3" s="181" customFormat="1" hidden="1" x14ac:dyDescent="0.2">
      <c r="C418" s="180"/>
    </row>
    <row r="419" spans="3:3" s="181" customFormat="1" hidden="1" x14ac:dyDescent="0.2">
      <c r="C419" s="180"/>
    </row>
    <row r="420" spans="3:3" s="181" customFormat="1" hidden="1" x14ac:dyDescent="0.2">
      <c r="C420" s="180"/>
    </row>
    <row r="421" spans="3:3" s="181" customFormat="1" hidden="1" x14ac:dyDescent="0.2">
      <c r="C421" s="180"/>
    </row>
    <row r="422" spans="3:3" s="181" customFormat="1" hidden="1" x14ac:dyDescent="0.2">
      <c r="C422" s="180"/>
    </row>
    <row r="423" spans="3:3" s="181" customFormat="1" hidden="1" x14ac:dyDescent="0.2">
      <c r="C423" s="180"/>
    </row>
    <row r="424" spans="3:3" s="181" customFormat="1" hidden="1" x14ac:dyDescent="0.2">
      <c r="C424" s="180"/>
    </row>
    <row r="425" spans="3:3" s="181" customFormat="1" hidden="1" x14ac:dyDescent="0.2">
      <c r="C425" s="180"/>
    </row>
    <row r="426" spans="3:3" s="181" customFormat="1" hidden="1" x14ac:dyDescent="0.2">
      <c r="C426" s="180"/>
    </row>
    <row r="427" spans="3:3" s="181" customFormat="1" hidden="1" x14ac:dyDescent="0.2">
      <c r="C427" s="180"/>
    </row>
    <row r="428" spans="3:3" s="181" customFormat="1" hidden="1" x14ac:dyDescent="0.2">
      <c r="C428" s="180"/>
    </row>
    <row r="429" spans="3:3" s="181" customFormat="1" hidden="1" x14ac:dyDescent="0.2">
      <c r="C429" s="180"/>
    </row>
    <row r="430" spans="3:3" s="181" customFormat="1" hidden="1" x14ac:dyDescent="0.2">
      <c r="C430" s="180"/>
    </row>
    <row r="431" spans="3:3" s="181" customFormat="1" hidden="1" x14ac:dyDescent="0.2">
      <c r="C431" s="180"/>
    </row>
    <row r="432" spans="3:3" s="181" customFormat="1" hidden="1" x14ac:dyDescent="0.2">
      <c r="C432" s="180"/>
    </row>
    <row r="433" spans="3:3" s="181" customFormat="1" hidden="1" x14ac:dyDescent="0.2">
      <c r="C433" s="180"/>
    </row>
    <row r="434" spans="3:3" s="181" customFormat="1" hidden="1" x14ac:dyDescent="0.2">
      <c r="C434" s="180"/>
    </row>
    <row r="435" spans="3:3" s="181" customFormat="1" hidden="1" x14ac:dyDescent="0.2">
      <c r="C435" s="180"/>
    </row>
    <row r="436" spans="3:3" s="181" customFormat="1" hidden="1" x14ac:dyDescent="0.2">
      <c r="C436" s="180"/>
    </row>
    <row r="437" spans="3:3" s="181" customFormat="1" hidden="1" x14ac:dyDescent="0.2">
      <c r="C437" s="180"/>
    </row>
    <row r="438" spans="3:3" s="181" customFormat="1" hidden="1" x14ac:dyDescent="0.2">
      <c r="C438" s="180"/>
    </row>
    <row r="439" spans="3:3" s="181" customFormat="1" hidden="1" x14ac:dyDescent="0.2">
      <c r="C439" s="180"/>
    </row>
    <row r="440" spans="3:3" s="181" customFormat="1" hidden="1" x14ac:dyDescent="0.2">
      <c r="C440" s="180"/>
    </row>
    <row r="441" spans="3:3" s="181" customFormat="1" hidden="1" x14ac:dyDescent="0.2">
      <c r="C441" s="180"/>
    </row>
    <row r="442" spans="3:3" s="181" customFormat="1" hidden="1" x14ac:dyDescent="0.2">
      <c r="C442" s="180"/>
    </row>
    <row r="443" spans="3:3" s="181" customFormat="1" hidden="1" x14ac:dyDescent="0.2">
      <c r="C443" s="180"/>
    </row>
    <row r="444" spans="3:3" s="181" customFormat="1" hidden="1" x14ac:dyDescent="0.2">
      <c r="C444" s="180"/>
    </row>
    <row r="445" spans="3:3" s="181" customFormat="1" hidden="1" x14ac:dyDescent="0.2">
      <c r="C445" s="180"/>
    </row>
    <row r="446" spans="3:3" s="181" customFormat="1" hidden="1" x14ac:dyDescent="0.2">
      <c r="C446" s="180"/>
    </row>
    <row r="447" spans="3:3" s="181" customFormat="1" hidden="1" x14ac:dyDescent="0.2">
      <c r="C447" s="180"/>
    </row>
    <row r="448" spans="3:3" s="181" customFormat="1" hidden="1" x14ac:dyDescent="0.2">
      <c r="C448" s="180"/>
    </row>
    <row r="449" spans="3:3" s="181" customFormat="1" hidden="1" x14ac:dyDescent="0.2">
      <c r="C449" s="180"/>
    </row>
    <row r="450" spans="3:3" s="181" customFormat="1" hidden="1" x14ac:dyDescent="0.2">
      <c r="C450" s="180"/>
    </row>
    <row r="451" spans="3:3" s="181" customFormat="1" hidden="1" x14ac:dyDescent="0.2">
      <c r="C451" s="180"/>
    </row>
    <row r="452" spans="3:3" s="181" customFormat="1" hidden="1" x14ac:dyDescent="0.2">
      <c r="C452" s="180"/>
    </row>
    <row r="453" spans="3:3" s="181" customFormat="1" hidden="1" x14ac:dyDescent="0.2">
      <c r="C453" s="180"/>
    </row>
    <row r="454" spans="3:3" s="181" customFormat="1" hidden="1" x14ac:dyDescent="0.2">
      <c r="C454" s="180"/>
    </row>
    <row r="455" spans="3:3" s="181" customFormat="1" hidden="1" x14ac:dyDescent="0.2">
      <c r="C455" s="180"/>
    </row>
    <row r="456" spans="3:3" s="181" customFormat="1" hidden="1" x14ac:dyDescent="0.2">
      <c r="C456" s="180"/>
    </row>
    <row r="457" spans="3:3" s="181" customFormat="1" hidden="1" x14ac:dyDescent="0.2">
      <c r="C457" s="180"/>
    </row>
    <row r="458" spans="3:3" s="181" customFormat="1" hidden="1" x14ac:dyDescent="0.2">
      <c r="C458" s="180"/>
    </row>
    <row r="459" spans="3:3" s="181" customFormat="1" hidden="1" x14ac:dyDescent="0.2">
      <c r="C459" s="180"/>
    </row>
    <row r="460" spans="3:3" s="181" customFormat="1" hidden="1" x14ac:dyDescent="0.2">
      <c r="C460" s="180"/>
    </row>
    <row r="461" spans="3:3" s="181" customFormat="1" hidden="1" x14ac:dyDescent="0.2">
      <c r="C461" s="180"/>
    </row>
    <row r="462" spans="3:3" s="181" customFormat="1" hidden="1" x14ac:dyDescent="0.2">
      <c r="C462" s="180"/>
    </row>
    <row r="463" spans="3:3" s="181" customFormat="1" hidden="1" x14ac:dyDescent="0.2">
      <c r="C463" s="180"/>
    </row>
    <row r="464" spans="3:3" s="181" customFormat="1" hidden="1" x14ac:dyDescent="0.2">
      <c r="C464" s="180"/>
    </row>
    <row r="465" spans="3:3" s="181" customFormat="1" hidden="1" x14ac:dyDescent="0.2">
      <c r="C465" s="180"/>
    </row>
    <row r="466" spans="3:3" s="181" customFormat="1" hidden="1" x14ac:dyDescent="0.2">
      <c r="C466" s="180"/>
    </row>
    <row r="467" spans="3:3" s="181" customFormat="1" hidden="1" x14ac:dyDescent="0.2">
      <c r="C467" s="180"/>
    </row>
    <row r="468" spans="3:3" s="181" customFormat="1" hidden="1" x14ac:dyDescent="0.2">
      <c r="C468" s="180"/>
    </row>
    <row r="469" spans="3:3" s="181" customFormat="1" hidden="1" x14ac:dyDescent="0.2">
      <c r="C469" s="180"/>
    </row>
    <row r="470" spans="3:3" s="181" customFormat="1" hidden="1" x14ac:dyDescent="0.2">
      <c r="C470" s="180"/>
    </row>
    <row r="471" spans="3:3" s="181" customFormat="1" hidden="1" x14ac:dyDescent="0.2">
      <c r="C471" s="180"/>
    </row>
    <row r="472" spans="3:3" s="181" customFormat="1" hidden="1" x14ac:dyDescent="0.2">
      <c r="C472" s="180"/>
    </row>
    <row r="473" spans="3:3" s="181" customFormat="1" hidden="1" x14ac:dyDescent="0.2">
      <c r="C473" s="180"/>
    </row>
    <row r="474" spans="3:3" s="181" customFormat="1" hidden="1" x14ac:dyDescent="0.2">
      <c r="C474" s="180"/>
    </row>
    <row r="475" spans="3:3" s="181" customFormat="1" hidden="1" x14ac:dyDescent="0.2">
      <c r="C475" s="180"/>
    </row>
    <row r="476" spans="3:3" s="181" customFormat="1" hidden="1" x14ac:dyDescent="0.2">
      <c r="C476" s="180"/>
    </row>
    <row r="477" spans="3:3" s="181" customFormat="1" hidden="1" x14ac:dyDescent="0.2">
      <c r="C477" s="180"/>
    </row>
    <row r="478" spans="3:3" s="181" customFormat="1" hidden="1" x14ac:dyDescent="0.2">
      <c r="C478" s="180"/>
    </row>
    <row r="479" spans="3:3" s="181" customFormat="1" hidden="1" x14ac:dyDescent="0.2">
      <c r="C479" s="180"/>
    </row>
    <row r="480" spans="3:3" s="181" customFormat="1" hidden="1" x14ac:dyDescent="0.2">
      <c r="C480" s="180"/>
    </row>
    <row r="481" spans="3:3" s="181" customFormat="1" hidden="1" x14ac:dyDescent="0.2">
      <c r="C481" s="180"/>
    </row>
    <row r="482" spans="3:3" s="181" customFormat="1" hidden="1" x14ac:dyDescent="0.2">
      <c r="C482" s="180"/>
    </row>
    <row r="483" spans="3:3" s="181" customFormat="1" hidden="1" x14ac:dyDescent="0.2">
      <c r="C483" s="180"/>
    </row>
    <row r="484" spans="3:3" s="181" customFormat="1" hidden="1" x14ac:dyDescent="0.2">
      <c r="C484" s="180"/>
    </row>
    <row r="485" spans="3:3" s="181" customFormat="1" hidden="1" x14ac:dyDescent="0.2">
      <c r="C485" s="180"/>
    </row>
    <row r="486" spans="3:3" s="181" customFormat="1" hidden="1" x14ac:dyDescent="0.2">
      <c r="C486" s="180"/>
    </row>
    <row r="487" spans="3:3" s="181" customFormat="1" hidden="1" x14ac:dyDescent="0.2">
      <c r="C487" s="180"/>
    </row>
    <row r="488" spans="3:3" s="181" customFormat="1" hidden="1" x14ac:dyDescent="0.2">
      <c r="C488" s="180"/>
    </row>
    <row r="489" spans="3:3" s="181" customFormat="1" hidden="1" x14ac:dyDescent="0.2">
      <c r="C489" s="180"/>
    </row>
    <row r="490" spans="3:3" s="181" customFormat="1" hidden="1" x14ac:dyDescent="0.2">
      <c r="C490" s="180"/>
    </row>
    <row r="491" spans="3:3" s="181" customFormat="1" hidden="1" x14ac:dyDescent="0.2">
      <c r="C491" s="180"/>
    </row>
    <row r="492" spans="3:3" s="181" customFormat="1" hidden="1" x14ac:dyDescent="0.2">
      <c r="C492" s="180"/>
    </row>
    <row r="493" spans="3:3" s="181" customFormat="1" hidden="1" x14ac:dyDescent="0.2">
      <c r="C493" s="180"/>
    </row>
    <row r="494" spans="3:3" s="181" customFormat="1" hidden="1" x14ac:dyDescent="0.2">
      <c r="C494" s="180"/>
    </row>
    <row r="495" spans="3:3" s="181" customFormat="1" hidden="1" x14ac:dyDescent="0.2">
      <c r="C495" s="180"/>
    </row>
    <row r="496" spans="3:3" s="181" customFormat="1" hidden="1" x14ac:dyDescent="0.2">
      <c r="C496" s="180"/>
    </row>
    <row r="497" spans="3:3" s="181" customFormat="1" hidden="1" x14ac:dyDescent="0.2">
      <c r="C497" s="180"/>
    </row>
    <row r="498" spans="3:3" s="181" customFormat="1" hidden="1" x14ac:dyDescent="0.2">
      <c r="C498" s="180"/>
    </row>
    <row r="499" spans="3:3" s="181" customFormat="1" hidden="1" x14ac:dyDescent="0.2">
      <c r="C499" s="180"/>
    </row>
    <row r="500" spans="3:3" s="181" customFormat="1" hidden="1" x14ac:dyDescent="0.2">
      <c r="C500" s="180"/>
    </row>
    <row r="501" spans="3:3" s="181" customFormat="1" hidden="1" x14ac:dyDescent="0.2">
      <c r="C501" s="180"/>
    </row>
    <row r="502" spans="3:3" s="181" customFormat="1" hidden="1" x14ac:dyDescent="0.2">
      <c r="C502" s="180"/>
    </row>
    <row r="503" spans="3:3" s="181" customFormat="1" hidden="1" x14ac:dyDescent="0.2">
      <c r="C503" s="180"/>
    </row>
    <row r="504" spans="3:3" s="181" customFormat="1" hidden="1" x14ac:dyDescent="0.2">
      <c r="C504" s="180"/>
    </row>
    <row r="505" spans="3:3" s="181" customFormat="1" hidden="1" x14ac:dyDescent="0.2">
      <c r="C505" s="180"/>
    </row>
    <row r="506" spans="3:3" s="181" customFormat="1" hidden="1" x14ac:dyDescent="0.2">
      <c r="C506" s="180"/>
    </row>
    <row r="507" spans="3:3" s="181" customFormat="1" hidden="1" x14ac:dyDescent="0.2">
      <c r="C507" s="180"/>
    </row>
    <row r="508" spans="3:3" s="181" customFormat="1" hidden="1" x14ac:dyDescent="0.2">
      <c r="C508" s="180"/>
    </row>
    <row r="509" spans="3:3" s="181" customFormat="1" hidden="1" x14ac:dyDescent="0.2">
      <c r="C509" s="180"/>
    </row>
    <row r="510" spans="3:3" s="181" customFormat="1" hidden="1" x14ac:dyDescent="0.2">
      <c r="C510" s="180"/>
    </row>
    <row r="511" spans="3:3" s="181" customFormat="1" hidden="1" x14ac:dyDescent="0.2">
      <c r="C511" s="180"/>
    </row>
    <row r="512" spans="3:3" s="181" customFormat="1" hidden="1" x14ac:dyDescent="0.2">
      <c r="C512" s="180"/>
    </row>
    <row r="513" spans="3:3" s="181" customFormat="1" hidden="1" x14ac:dyDescent="0.2">
      <c r="C513" s="180"/>
    </row>
    <row r="514" spans="3:3" s="181" customFormat="1" hidden="1" x14ac:dyDescent="0.2">
      <c r="C514" s="180"/>
    </row>
    <row r="515" spans="3:3" s="181" customFormat="1" hidden="1" x14ac:dyDescent="0.2">
      <c r="C515" s="180"/>
    </row>
    <row r="516" spans="3:3" s="181" customFormat="1" hidden="1" x14ac:dyDescent="0.2">
      <c r="C516" s="180"/>
    </row>
    <row r="517" spans="3:3" s="181" customFormat="1" hidden="1" x14ac:dyDescent="0.2">
      <c r="C517" s="180"/>
    </row>
    <row r="518" spans="3:3" s="181" customFormat="1" hidden="1" x14ac:dyDescent="0.2">
      <c r="C518" s="180"/>
    </row>
    <row r="519" spans="3:3" s="181" customFormat="1" hidden="1" x14ac:dyDescent="0.2">
      <c r="C519" s="180"/>
    </row>
    <row r="520" spans="3:3" s="181" customFormat="1" hidden="1" x14ac:dyDescent="0.2">
      <c r="C520" s="180"/>
    </row>
    <row r="521" spans="3:3" s="181" customFormat="1" hidden="1" x14ac:dyDescent="0.2">
      <c r="C521" s="180"/>
    </row>
    <row r="522" spans="3:3" s="181" customFormat="1" hidden="1" x14ac:dyDescent="0.2">
      <c r="C522" s="180"/>
    </row>
    <row r="523" spans="3:3" s="181" customFormat="1" hidden="1" x14ac:dyDescent="0.2">
      <c r="C523" s="180"/>
    </row>
    <row r="524" spans="3:3" s="181" customFormat="1" hidden="1" x14ac:dyDescent="0.2">
      <c r="C524" s="180"/>
    </row>
    <row r="525" spans="3:3" s="181" customFormat="1" hidden="1" x14ac:dyDescent="0.2">
      <c r="C525" s="180"/>
    </row>
    <row r="526" spans="3:3" s="181" customFormat="1" hidden="1" x14ac:dyDescent="0.2">
      <c r="C526" s="180"/>
    </row>
    <row r="527" spans="3:3" s="181" customFormat="1" hidden="1" x14ac:dyDescent="0.2">
      <c r="C527" s="180"/>
    </row>
    <row r="528" spans="3:3" s="181" customFormat="1" hidden="1" x14ac:dyDescent="0.2">
      <c r="C528" s="180"/>
    </row>
    <row r="529" spans="3:3" s="181" customFormat="1" hidden="1" x14ac:dyDescent="0.2">
      <c r="C529" s="180"/>
    </row>
    <row r="530" spans="3:3" s="181" customFormat="1" hidden="1" x14ac:dyDescent="0.2">
      <c r="C530" s="180"/>
    </row>
    <row r="531" spans="3:3" s="181" customFormat="1" hidden="1" x14ac:dyDescent="0.2">
      <c r="C531" s="180"/>
    </row>
    <row r="532" spans="3:3" s="181" customFormat="1" hidden="1" x14ac:dyDescent="0.2">
      <c r="C532" s="180"/>
    </row>
    <row r="533" spans="3:3" s="181" customFormat="1" hidden="1" x14ac:dyDescent="0.2">
      <c r="C533" s="180"/>
    </row>
    <row r="534" spans="3:3" s="181" customFormat="1" hidden="1" x14ac:dyDescent="0.2">
      <c r="C534" s="180"/>
    </row>
    <row r="535" spans="3:3" s="181" customFormat="1" hidden="1" x14ac:dyDescent="0.2">
      <c r="C535" s="180"/>
    </row>
    <row r="536" spans="3:3" s="181" customFormat="1" hidden="1" x14ac:dyDescent="0.2">
      <c r="C536" s="180"/>
    </row>
    <row r="537" spans="3:3" s="181" customFormat="1" hidden="1" x14ac:dyDescent="0.2">
      <c r="C537" s="180"/>
    </row>
    <row r="538" spans="3:3" s="181" customFormat="1" hidden="1" x14ac:dyDescent="0.2">
      <c r="C538" s="180"/>
    </row>
    <row r="539" spans="3:3" s="181" customFormat="1" hidden="1" x14ac:dyDescent="0.2">
      <c r="C539" s="180"/>
    </row>
    <row r="540" spans="3:3" s="181" customFormat="1" hidden="1" x14ac:dyDescent="0.2">
      <c r="C540" s="180"/>
    </row>
    <row r="541" spans="3:3" s="181" customFormat="1" hidden="1" x14ac:dyDescent="0.2">
      <c r="C541" s="180"/>
    </row>
    <row r="542" spans="3:3" s="181" customFormat="1" hidden="1" x14ac:dyDescent="0.2">
      <c r="C542" s="180"/>
    </row>
    <row r="543" spans="3:3" s="181" customFormat="1" hidden="1" x14ac:dyDescent="0.2">
      <c r="C543" s="180"/>
    </row>
    <row r="544" spans="3:3" s="181" customFormat="1" hidden="1" x14ac:dyDescent="0.2">
      <c r="C544" s="180"/>
    </row>
    <row r="545" spans="3:3" s="181" customFormat="1" hidden="1" x14ac:dyDescent="0.2">
      <c r="C545" s="180"/>
    </row>
    <row r="546" spans="3:3" s="181" customFormat="1" hidden="1" x14ac:dyDescent="0.2">
      <c r="C546" s="180"/>
    </row>
    <row r="547" spans="3:3" s="181" customFormat="1" hidden="1" x14ac:dyDescent="0.2">
      <c r="C547" s="180"/>
    </row>
    <row r="548" spans="3:3" s="181" customFormat="1" hidden="1" x14ac:dyDescent="0.2">
      <c r="C548" s="180"/>
    </row>
    <row r="549" spans="3:3" s="181" customFormat="1" hidden="1" x14ac:dyDescent="0.2">
      <c r="C549" s="180"/>
    </row>
    <row r="550" spans="3:3" s="181" customFormat="1" hidden="1" x14ac:dyDescent="0.2">
      <c r="C550" s="180"/>
    </row>
    <row r="551" spans="3:3" s="181" customFormat="1" hidden="1" x14ac:dyDescent="0.2">
      <c r="C551" s="180"/>
    </row>
    <row r="552" spans="3:3" s="181" customFormat="1" hidden="1" x14ac:dyDescent="0.2">
      <c r="C552" s="180"/>
    </row>
    <row r="553" spans="3:3" s="181" customFormat="1" hidden="1" x14ac:dyDescent="0.2">
      <c r="C553" s="180"/>
    </row>
    <row r="554" spans="3:3" s="181" customFormat="1" hidden="1" x14ac:dyDescent="0.2">
      <c r="C554" s="180"/>
    </row>
    <row r="555" spans="3:3" s="181" customFormat="1" hidden="1" x14ac:dyDescent="0.2">
      <c r="C555" s="180"/>
    </row>
    <row r="556" spans="3:3" s="181" customFormat="1" hidden="1" x14ac:dyDescent="0.2">
      <c r="C556" s="180"/>
    </row>
    <row r="557" spans="3:3" s="181" customFormat="1" hidden="1" x14ac:dyDescent="0.2">
      <c r="C557" s="180"/>
    </row>
    <row r="558" spans="3:3" s="181" customFormat="1" hidden="1" x14ac:dyDescent="0.2">
      <c r="C558" s="180"/>
    </row>
    <row r="559" spans="3:3" s="181" customFormat="1" hidden="1" x14ac:dyDescent="0.2">
      <c r="C559" s="180"/>
    </row>
    <row r="560" spans="3:3" s="181" customFormat="1" hidden="1" x14ac:dyDescent="0.2">
      <c r="C560" s="180"/>
    </row>
    <row r="561" spans="3:3" s="181" customFormat="1" hidden="1" x14ac:dyDescent="0.2">
      <c r="C561" s="180"/>
    </row>
    <row r="562" spans="3:3" s="181" customFormat="1" hidden="1" x14ac:dyDescent="0.2">
      <c r="C562" s="180"/>
    </row>
    <row r="563" spans="3:3" s="181" customFormat="1" hidden="1" x14ac:dyDescent="0.2">
      <c r="C563" s="180"/>
    </row>
    <row r="564" spans="3:3" s="181" customFormat="1" hidden="1" x14ac:dyDescent="0.2">
      <c r="C564" s="180"/>
    </row>
    <row r="565" spans="3:3" s="181" customFormat="1" hidden="1" x14ac:dyDescent="0.2">
      <c r="C565" s="180"/>
    </row>
    <row r="566" spans="3:3" s="181" customFormat="1" hidden="1" x14ac:dyDescent="0.2">
      <c r="C566" s="180"/>
    </row>
    <row r="567" spans="3:3" s="181" customFormat="1" hidden="1" x14ac:dyDescent="0.2">
      <c r="C567" s="180"/>
    </row>
    <row r="568" spans="3:3" s="181" customFormat="1" hidden="1" x14ac:dyDescent="0.2">
      <c r="C568" s="180"/>
    </row>
    <row r="569" spans="3:3" s="181" customFormat="1" hidden="1" x14ac:dyDescent="0.2">
      <c r="C569" s="180"/>
    </row>
    <row r="570" spans="3:3" s="181" customFormat="1" hidden="1" x14ac:dyDescent="0.2">
      <c r="C570" s="180"/>
    </row>
    <row r="571" spans="3:3" s="181" customFormat="1" hidden="1" x14ac:dyDescent="0.2">
      <c r="C571" s="180"/>
    </row>
    <row r="572" spans="3:3" s="181" customFormat="1" hidden="1" x14ac:dyDescent="0.2">
      <c r="C572" s="180"/>
    </row>
    <row r="573" spans="3:3" s="181" customFormat="1" hidden="1" x14ac:dyDescent="0.2">
      <c r="C573" s="180"/>
    </row>
    <row r="574" spans="3:3" s="181" customFormat="1" hidden="1" x14ac:dyDescent="0.2">
      <c r="C574" s="180"/>
    </row>
    <row r="575" spans="3:3" s="181" customFormat="1" hidden="1" x14ac:dyDescent="0.2">
      <c r="C575" s="180"/>
    </row>
    <row r="576" spans="3:3" s="181" customFormat="1" hidden="1" x14ac:dyDescent="0.2">
      <c r="C576" s="180"/>
    </row>
    <row r="577" spans="3:3" s="181" customFormat="1" hidden="1" x14ac:dyDescent="0.2">
      <c r="C577" s="180"/>
    </row>
    <row r="578" spans="3:3" s="181" customFormat="1" hidden="1" x14ac:dyDescent="0.2">
      <c r="C578" s="180"/>
    </row>
    <row r="579" spans="3:3" s="181" customFormat="1" hidden="1" x14ac:dyDescent="0.2">
      <c r="C579" s="180"/>
    </row>
    <row r="580" spans="3:3" s="181" customFormat="1" hidden="1" x14ac:dyDescent="0.2">
      <c r="C580" s="180"/>
    </row>
    <row r="581" spans="3:3" s="181" customFormat="1" hidden="1" x14ac:dyDescent="0.2">
      <c r="C581" s="180"/>
    </row>
    <row r="582" spans="3:3" s="181" customFormat="1" hidden="1" x14ac:dyDescent="0.2">
      <c r="C582" s="180"/>
    </row>
    <row r="583" spans="3:3" s="181" customFormat="1" hidden="1" x14ac:dyDescent="0.2">
      <c r="C583" s="180"/>
    </row>
    <row r="584" spans="3:3" s="181" customFormat="1" hidden="1" x14ac:dyDescent="0.2">
      <c r="C584" s="180"/>
    </row>
    <row r="585" spans="3:3" s="181" customFormat="1" hidden="1" x14ac:dyDescent="0.2">
      <c r="C585" s="180"/>
    </row>
    <row r="586" spans="3:3" s="181" customFormat="1" hidden="1" x14ac:dyDescent="0.2">
      <c r="C586" s="180"/>
    </row>
    <row r="587" spans="3:3" s="181" customFormat="1" hidden="1" x14ac:dyDescent="0.2">
      <c r="C587" s="180"/>
    </row>
    <row r="588" spans="3:3" s="181" customFormat="1" hidden="1" x14ac:dyDescent="0.2">
      <c r="C588" s="180"/>
    </row>
    <row r="589" spans="3:3" s="181" customFormat="1" hidden="1" x14ac:dyDescent="0.2">
      <c r="C589" s="180"/>
    </row>
    <row r="590" spans="3:3" s="181" customFormat="1" hidden="1" x14ac:dyDescent="0.2">
      <c r="C590" s="180"/>
    </row>
    <row r="591" spans="3:3" s="181" customFormat="1" hidden="1" x14ac:dyDescent="0.2">
      <c r="C591" s="180"/>
    </row>
    <row r="592" spans="3:3" s="181" customFormat="1" hidden="1" x14ac:dyDescent="0.2">
      <c r="C592" s="180"/>
    </row>
    <row r="593" spans="3:3" s="181" customFormat="1" hidden="1" x14ac:dyDescent="0.2">
      <c r="C593" s="180"/>
    </row>
    <row r="594" spans="3:3" s="181" customFormat="1" hidden="1" x14ac:dyDescent="0.2">
      <c r="C594" s="180"/>
    </row>
    <row r="595" spans="3:3" s="181" customFormat="1" hidden="1" x14ac:dyDescent="0.2">
      <c r="C595" s="180"/>
    </row>
    <row r="596" spans="3:3" s="181" customFormat="1" hidden="1" x14ac:dyDescent="0.2">
      <c r="C596" s="180"/>
    </row>
    <row r="597" spans="3:3" s="181" customFormat="1" hidden="1" x14ac:dyDescent="0.2">
      <c r="C597" s="180"/>
    </row>
    <row r="598" spans="3:3" s="181" customFormat="1" hidden="1" x14ac:dyDescent="0.2">
      <c r="C598" s="180"/>
    </row>
    <row r="599" spans="3:3" s="181" customFormat="1" hidden="1" x14ac:dyDescent="0.2">
      <c r="C599" s="180"/>
    </row>
    <row r="600" spans="3:3" s="181" customFormat="1" hidden="1" x14ac:dyDescent="0.2">
      <c r="C600" s="180"/>
    </row>
    <row r="601" spans="3:3" s="181" customFormat="1" hidden="1" x14ac:dyDescent="0.2">
      <c r="C601" s="180"/>
    </row>
    <row r="602" spans="3:3" s="181" customFormat="1" hidden="1" x14ac:dyDescent="0.2">
      <c r="C602" s="180"/>
    </row>
    <row r="603" spans="3:3" s="181" customFormat="1" hidden="1" x14ac:dyDescent="0.2">
      <c r="C603" s="180"/>
    </row>
    <row r="604" spans="3:3" s="181" customFormat="1" hidden="1" x14ac:dyDescent="0.2">
      <c r="C604" s="180"/>
    </row>
    <row r="605" spans="3:3" s="181" customFormat="1" hidden="1" x14ac:dyDescent="0.2">
      <c r="C605" s="180"/>
    </row>
    <row r="606" spans="3:3" s="181" customFormat="1" hidden="1" x14ac:dyDescent="0.2">
      <c r="C606" s="180"/>
    </row>
    <row r="607" spans="3:3" s="181" customFormat="1" hidden="1" x14ac:dyDescent="0.2">
      <c r="C607" s="180"/>
    </row>
    <row r="608" spans="3:3" s="181" customFormat="1" hidden="1" x14ac:dyDescent="0.2">
      <c r="C608" s="180"/>
    </row>
    <row r="609" spans="3:3" s="181" customFormat="1" hidden="1" x14ac:dyDescent="0.2">
      <c r="C609" s="180"/>
    </row>
    <row r="610" spans="3:3" s="181" customFormat="1" hidden="1" x14ac:dyDescent="0.2">
      <c r="C610" s="180"/>
    </row>
    <row r="611" spans="3:3" s="181" customFormat="1" hidden="1" x14ac:dyDescent="0.2">
      <c r="C611" s="180"/>
    </row>
    <row r="612" spans="3:3" s="181" customFormat="1" hidden="1" x14ac:dyDescent="0.2">
      <c r="C612" s="180"/>
    </row>
    <row r="613" spans="3:3" s="181" customFormat="1" hidden="1" x14ac:dyDescent="0.2">
      <c r="C613" s="180"/>
    </row>
    <row r="614" spans="3:3" s="181" customFormat="1" hidden="1" x14ac:dyDescent="0.2">
      <c r="C614" s="180"/>
    </row>
    <row r="615" spans="3:3" s="181" customFormat="1" hidden="1" x14ac:dyDescent="0.2">
      <c r="C615" s="180"/>
    </row>
    <row r="616" spans="3:3" s="181" customFormat="1" hidden="1" x14ac:dyDescent="0.2">
      <c r="C616" s="180"/>
    </row>
    <row r="617" spans="3:3" s="181" customFormat="1" hidden="1" x14ac:dyDescent="0.2">
      <c r="C617" s="180"/>
    </row>
    <row r="618" spans="3:3" s="181" customFormat="1" hidden="1" x14ac:dyDescent="0.2">
      <c r="C618" s="180"/>
    </row>
    <row r="619" spans="3:3" s="181" customFormat="1" hidden="1" x14ac:dyDescent="0.2">
      <c r="C619" s="180"/>
    </row>
    <row r="620" spans="3:3" s="181" customFormat="1" hidden="1" x14ac:dyDescent="0.2">
      <c r="C620" s="180"/>
    </row>
    <row r="621" spans="3:3" s="181" customFormat="1" hidden="1" x14ac:dyDescent="0.2">
      <c r="C621" s="180"/>
    </row>
    <row r="622" spans="3:3" s="181" customFormat="1" hidden="1" x14ac:dyDescent="0.2">
      <c r="C622" s="180"/>
    </row>
    <row r="623" spans="3:3" s="181" customFormat="1" hidden="1" x14ac:dyDescent="0.2">
      <c r="C623" s="180"/>
    </row>
    <row r="624" spans="3:3" s="181" customFormat="1" hidden="1" x14ac:dyDescent="0.2">
      <c r="C624" s="180"/>
    </row>
    <row r="625" spans="3:3" s="181" customFormat="1" hidden="1" x14ac:dyDescent="0.2">
      <c r="C625" s="180"/>
    </row>
    <row r="626" spans="3:3" s="181" customFormat="1" hidden="1" x14ac:dyDescent="0.2">
      <c r="C626" s="180"/>
    </row>
    <row r="627" spans="3:3" s="181" customFormat="1" hidden="1" x14ac:dyDescent="0.2">
      <c r="C627" s="180"/>
    </row>
    <row r="628" spans="3:3" s="181" customFormat="1" hidden="1" x14ac:dyDescent="0.2">
      <c r="C628" s="180"/>
    </row>
    <row r="629" spans="3:3" s="181" customFormat="1" hidden="1" x14ac:dyDescent="0.2">
      <c r="C629" s="180"/>
    </row>
    <row r="630" spans="3:3" s="181" customFormat="1" hidden="1" x14ac:dyDescent="0.2">
      <c r="C630" s="180"/>
    </row>
    <row r="631" spans="3:3" s="181" customFormat="1" hidden="1" x14ac:dyDescent="0.2">
      <c r="C631" s="180"/>
    </row>
    <row r="632" spans="3:3" s="181" customFormat="1" hidden="1" x14ac:dyDescent="0.2">
      <c r="C632" s="180"/>
    </row>
    <row r="633" spans="3:3" s="181" customFormat="1" hidden="1" x14ac:dyDescent="0.2">
      <c r="C633" s="180"/>
    </row>
    <row r="634" spans="3:3" s="181" customFormat="1" hidden="1" x14ac:dyDescent="0.2">
      <c r="C634" s="180"/>
    </row>
    <row r="635" spans="3:3" s="181" customFormat="1" hidden="1" x14ac:dyDescent="0.2">
      <c r="C635" s="180"/>
    </row>
    <row r="636" spans="3:3" s="181" customFormat="1" hidden="1" x14ac:dyDescent="0.2">
      <c r="C636" s="180"/>
    </row>
    <row r="637" spans="3:3" s="181" customFormat="1" hidden="1" x14ac:dyDescent="0.2">
      <c r="C637" s="180"/>
    </row>
    <row r="638" spans="3:3" s="181" customFormat="1" hidden="1" x14ac:dyDescent="0.2">
      <c r="C638" s="180"/>
    </row>
    <row r="639" spans="3:3" s="181" customFormat="1" hidden="1" x14ac:dyDescent="0.2">
      <c r="C639" s="180"/>
    </row>
    <row r="640" spans="3:3" s="181" customFormat="1" hidden="1" x14ac:dyDescent="0.2">
      <c r="C640" s="180"/>
    </row>
    <row r="641" spans="3:3" s="181" customFormat="1" hidden="1" x14ac:dyDescent="0.2">
      <c r="C641" s="180"/>
    </row>
    <row r="642" spans="3:3" s="181" customFormat="1" hidden="1" x14ac:dyDescent="0.2">
      <c r="C642" s="180"/>
    </row>
    <row r="643" spans="3:3" s="181" customFormat="1" hidden="1" x14ac:dyDescent="0.2">
      <c r="C643" s="180"/>
    </row>
    <row r="644" spans="3:3" s="181" customFormat="1" hidden="1" x14ac:dyDescent="0.2">
      <c r="C644" s="180"/>
    </row>
    <row r="645" spans="3:3" s="181" customFormat="1" hidden="1" x14ac:dyDescent="0.2">
      <c r="C645" s="180"/>
    </row>
    <row r="646" spans="3:3" s="181" customFormat="1" hidden="1" x14ac:dyDescent="0.2">
      <c r="C646" s="180"/>
    </row>
    <row r="647" spans="3:3" s="181" customFormat="1" hidden="1" x14ac:dyDescent="0.2">
      <c r="C647" s="180"/>
    </row>
    <row r="648" spans="3:3" s="181" customFormat="1" hidden="1" x14ac:dyDescent="0.2">
      <c r="C648" s="180"/>
    </row>
    <row r="649" spans="3:3" s="181" customFormat="1" hidden="1" x14ac:dyDescent="0.2">
      <c r="C649" s="180"/>
    </row>
    <row r="650" spans="3:3" s="181" customFormat="1" hidden="1" x14ac:dyDescent="0.2">
      <c r="C650" s="180"/>
    </row>
    <row r="651" spans="3:3" s="181" customFormat="1" hidden="1" x14ac:dyDescent="0.2">
      <c r="C651" s="180"/>
    </row>
    <row r="652" spans="3:3" s="181" customFormat="1" hidden="1" x14ac:dyDescent="0.2">
      <c r="C652" s="180"/>
    </row>
    <row r="653" spans="3:3" s="181" customFormat="1" hidden="1" x14ac:dyDescent="0.2">
      <c r="C653" s="180"/>
    </row>
    <row r="654" spans="3:3" s="181" customFormat="1" hidden="1" x14ac:dyDescent="0.2">
      <c r="C654" s="180"/>
    </row>
    <row r="655" spans="3:3" s="181" customFormat="1" hidden="1" x14ac:dyDescent="0.2">
      <c r="C655" s="180"/>
    </row>
    <row r="656" spans="3:3" s="181" customFormat="1" hidden="1" x14ac:dyDescent="0.2">
      <c r="C656" s="180"/>
    </row>
    <row r="657" spans="3:3" s="181" customFormat="1" hidden="1" x14ac:dyDescent="0.2">
      <c r="C657" s="180"/>
    </row>
    <row r="658" spans="3:3" s="181" customFormat="1" hidden="1" x14ac:dyDescent="0.2">
      <c r="C658" s="180"/>
    </row>
    <row r="659" spans="3:3" s="181" customFormat="1" hidden="1" x14ac:dyDescent="0.2">
      <c r="C659" s="180"/>
    </row>
    <row r="660" spans="3:3" s="181" customFormat="1" hidden="1" x14ac:dyDescent="0.2">
      <c r="C660" s="180"/>
    </row>
    <row r="661" spans="3:3" s="181" customFormat="1" hidden="1" x14ac:dyDescent="0.2">
      <c r="C661" s="180"/>
    </row>
    <row r="662" spans="3:3" s="181" customFormat="1" hidden="1" x14ac:dyDescent="0.2">
      <c r="C662" s="180"/>
    </row>
    <row r="663" spans="3:3" s="181" customFormat="1" hidden="1" x14ac:dyDescent="0.2">
      <c r="C663" s="180"/>
    </row>
    <row r="664" spans="3:3" s="181" customFormat="1" hidden="1" x14ac:dyDescent="0.2">
      <c r="C664" s="180"/>
    </row>
    <row r="665" spans="3:3" s="181" customFormat="1" hidden="1" x14ac:dyDescent="0.2">
      <c r="C665" s="180"/>
    </row>
    <row r="666" spans="3:3" s="181" customFormat="1" hidden="1" x14ac:dyDescent="0.2">
      <c r="C666" s="180"/>
    </row>
    <row r="667" spans="3:3" s="181" customFormat="1" hidden="1" x14ac:dyDescent="0.2">
      <c r="C667" s="180"/>
    </row>
    <row r="668" spans="3:3" s="181" customFormat="1" hidden="1" x14ac:dyDescent="0.2">
      <c r="C668" s="180"/>
    </row>
    <row r="669" spans="3:3" s="181" customFormat="1" hidden="1" x14ac:dyDescent="0.2">
      <c r="C669" s="180"/>
    </row>
    <row r="670" spans="3:3" s="181" customFormat="1" hidden="1" x14ac:dyDescent="0.2">
      <c r="C670" s="180"/>
    </row>
    <row r="671" spans="3:3" s="181" customFormat="1" hidden="1" x14ac:dyDescent="0.2">
      <c r="C671" s="180"/>
    </row>
    <row r="672" spans="3:3" s="181" customFormat="1" hidden="1" x14ac:dyDescent="0.2">
      <c r="C672" s="180"/>
    </row>
    <row r="673" spans="3:3" s="181" customFormat="1" hidden="1" x14ac:dyDescent="0.2">
      <c r="C673" s="180"/>
    </row>
    <row r="674" spans="3:3" s="181" customFormat="1" hidden="1" x14ac:dyDescent="0.2">
      <c r="C674" s="180"/>
    </row>
    <row r="675" spans="3:3" s="181" customFormat="1" hidden="1" x14ac:dyDescent="0.2">
      <c r="C675" s="180"/>
    </row>
    <row r="676" spans="3:3" s="181" customFormat="1" hidden="1" x14ac:dyDescent="0.2">
      <c r="C676" s="180"/>
    </row>
    <row r="677" spans="3:3" s="181" customFormat="1" hidden="1" x14ac:dyDescent="0.2">
      <c r="C677" s="180"/>
    </row>
    <row r="678" spans="3:3" s="181" customFormat="1" hidden="1" x14ac:dyDescent="0.2">
      <c r="C678" s="180"/>
    </row>
    <row r="679" spans="3:3" s="181" customFormat="1" hidden="1" x14ac:dyDescent="0.2">
      <c r="C679" s="180"/>
    </row>
    <row r="680" spans="3:3" s="181" customFormat="1" hidden="1" x14ac:dyDescent="0.2">
      <c r="C680" s="180"/>
    </row>
    <row r="681" spans="3:3" s="181" customFormat="1" hidden="1" x14ac:dyDescent="0.2">
      <c r="C681" s="180"/>
    </row>
    <row r="682" spans="3:3" s="181" customFormat="1" hidden="1" x14ac:dyDescent="0.2">
      <c r="C682" s="180"/>
    </row>
    <row r="683" spans="3:3" s="181" customFormat="1" hidden="1" x14ac:dyDescent="0.2">
      <c r="C683" s="180"/>
    </row>
    <row r="684" spans="3:3" s="181" customFormat="1" hidden="1" x14ac:dyDescent="0.2">
      <c r="C684" s="180"/>
    </row>
    <row r="685" spans="3:3" s="181" customFormat="1" hidden="1" x14ac:dyDescent="0.2">
      <c r="C685" s="180"/>
    </row>
    <row r="686" spans="3:3" s="181" customFormat="1" hidden="1" x14ac:dyDescent="0.2">
      <c r="C686" s="180"/>
    </row>
    <row r="687" spans="3:3" s="181" customFormat="1" hidden="1" x14ac:dyDescent="0.2">
      <c r="C687" s="180"/>
    </row>
    <row r="688" spans="3:3" s="181" customFormat="1" hidden="1" x14ac:dyDescent="0.2">
      <c r="C688" s="180"/>
    </row>
    <row r="689" spans="3:3" s="181" customFormat="1" hidden="1" x14ac:dyDescent="0.2">
      <c r="C689" s="180"/>
    </row>
    <row r="690" spans="3:3" s="181" customFormat="1" hidden="1" x14ac:dyDescent="0.2">
      <c r="C690" s="180"/>
    </row>
    <row r="691" spans="3:3" s="181" customFormat="1" hidden="1" x14ac:dyDescent="0.2">
      <c r="C691" s="180"/>
    </row>
    <row r="692" spans="3:3" s="181" customFormat="1" hidden="1" x14ac:dyDescent="0.2">
      <c r="C692" s="180"/>
    </row>
    <row r="693" spans="3:3" s="181" customFormat="1" hidden="1" x14ac:dyDescent="0.2">
      <c r="C693" s="180"/>
    </row>
    <row r="694" spans="3:3" s="181" customFormat="1" hidden="1" x14ac:dyDescent="0.2">
      <c r="C694" s="180"/>
    </row>
    <row r="695" spans="3:3" s="181" customFormat="1" hidden="1" x14ac:dyDescent="0.2">
      <c r="C695" s="180"/>
    </row>
    <row r="696" spans="3:3" s="181" customFormat="1" hidden="1" x14ac:dyDescent="0.2">
      <c r="C696" s="180"/>
    </row>
    <row r="697" spans="3:3" s="181" customFormat="1" hidden="1" x14ac:dyDescent="0.2">
      <c r="C697" s="180"/>
    </row>
    <row r="698" spans="3:3" s="181" customFormat="1" hidden="1" x14ac:dyDescent="0.2">
      <c r="C698" s="180"/>
    </row>
    <row r="699" spans="3:3" s="181" customFormat="1" hidden="1" x14ac:dyDescent="0.2">
      <c r="C699" s="180"/>
    </row>
    <row r="700" spans="3:3" s="181" customFormat="1" hidden="1" x14ac:dyDescent="0.2">
      <c r="C700" s="180"/>
    </row>
    <row r="701" spans="3:3" s="181" customFormat="1" hidden="1" x14ac:dyDescent="0.2">
      <c r="C701" s="180"/>
    </row>
    <row r="702" spans="3:3" s="181" customFormat="1" hidden="1" x14ac:dyDescent="0.2">
      <c r="C702" s="180"/>
    </row>
    <row r="703" spans="3:3" s="181" customFormat="1" hidden="1" x14ac:dyDescent="0.2">
      <c r="C703" s="180"/>
    </row>
    <row r="704" spans="3:3" s="181" customFormat="1" hidden="1" x14ac:dyDescent="0.2">
      <c r="C704" s="180"/>
    </row>
    <row r="705" spans="3:3" s="181" customFormat="1" hidden="1" x14ac:dyDescent="0.2">
      <c r="C705" s="180"/>
    </row>
    <row r="706" spans="3:3" s="181" customFormat="1" hidden="1" x14ac:dyDescent="0.2">
      <c r="C706" s="180"/>
    </row>
    <row r="707" spans="3:3" s="181" customFormat="1" hidden="1" x14ac:dyDescent="0.2">
      <c r="C707" s="180"/>
    </row>
    <row r="708" spans="3:3" s="181" customFormat="1" hidden="1" x14ac:dyDescent="0.2">
      <c r="C708" s="180"/>
    </row>
    <row r="709" spans="3:3" s="181" customFormat="1" hidden="1" x14ac:dyDescent="0.2">
      <c r="C709" s="180"/>
    </row>
    <row r="710" spans="3:3" s="181" customFormat="1" hidden="1" x14ac:dyDescent="0.2">
      <c r="C710" s="180"/>
    </row>
    <row r="711" spans="3:3" s="181" customFormat="1" hidden="1" x14ac:dyDescent="0.2">
      <c r="C711" s="180"/>
    </row>
    <row r="712" spans="3:3" s="181" customFormat="1" hidden="1" x14ac:dyDescent="0.2">
      <c r="C712" s="180"/>
    </row>
    <row r="713" spans="3:3" s="181" customFormat="1" hidden="1" x14ac:dyDescent="0.2">
      <c r="C713" s="180"/>
    </row>
    <row r="714" spans="3:3" s="181" customFormat="1" hidden="1" x14ac:dyDescent="0.2">
      <c r="C714" s="180"/>
    </row>
    <row r="715" spans="3:3" s="181" customFormat="1" hidden="1" x14ac:dyDescent="0.2">
      <c r="C715" s="180"/>
    </row>
    <row r="716" spans="3:3" s="181" customFormat="1" hidden="1" x14ac:dyDescent="0.2">
      <c r="C716" s="180"/>
    </row>
    <row r="717" spans="3:3" s="181" customFormat="1" hidden="1" x14ac:dyDescent="0.2">
      <c r="C717" s="180"/>
    </row>
    <row r="718" spans="3:3" s="181" customFormat="1" hidden="1" x14ac:dyDescent="0.2">
      <c r="C718" s="180"/>
    </row>
    <row r="719" spans="3:3" s="181" customFormat="1" hidden="1" x14ac:dyDescent="0.2">
      <c r="C719" s="180"/>
    </row>
    <row r="720" spans="3:3" s="181" customFormat="1" hidden="1" x14ac:dyDescent="0.2">
      <c r="C720" s="180"/>
    </row>
    <row r="721" spans="3:3" s="181" customFormat="1" hidden="1" x14ac:dyDescent="0.2">
      <c r="C721" s="180"/>
    </row>
    <row r="722" spans="3:3" s="181" customFormat="1" hidden="1" x14ac:dyDescent="0.2">
      <c r="C722" s="180"/>
    </row>
    <row r="723" spans="3:3" s="181" customFormat="1" hidden="1" x14ac:dyDescent="0.2">
      <c r="C723" s="180"/>
    </row>
    <row r="724" spans="3:3" s="181" customFormat="1" hidden="1" x14ac:dyDescent="0.2">
      <c r="C724" s="180"/>
    </row>
    <row r="725" spans="3:3" s="181" customFormat="1" hidden="1" x14ac:dyDescent="0.2">
      <c r="C725" s="180"/>
    </row>
    <row r="726" spans="3:3" s="181" customFormat="1" hidden="1" x14ac:dyDescent="0.2">
      <c r="C726" s="180"/>
    </row>
    <row r="727" spans="3:3" s="181" customFormat="1" hidden="1" x14ac:dyDescent="0.2">
      <c r="C727" s="180"/>
    </row>
    <row r="728" spans="3:3" s="181" customFormat="1" hidden="1" x14ac:dyDescent="0.2">
      <c r="C728" s="180"/>
    </row>
    <row r="729" spans="3:3" s="181" customFormat="1" hidden="1" x14ac:dyDescent="0.2">
      <c r="C729" s="180"/>
    </row>
    <row r="730" spans="3:3" s="181" customFormat="1" hidden="1" x14ac:dyDescent="0.2">
      <c r="C730" s="180"/>
    </row>
    <row r="731" spans="3:3" s="181" customFormat="1" hidden="1" x14ac:dyDescent="0.2">
      <c r="C731" s="180"/>
    </row>
    <row r="732" spans="3:3" s="181" customFormat="1" hidden="1" x14ac:dyDescent="0.2">
      <c r="C732" s="180"/>
    </row>
    <row r="733" spans="3:3" s="181" customFormat="1" hidden="1" x14ac:dyDescent="0.2">
      <c r="C733" s="180"/>
    </row>
    <row r="734" spans="3:3" s="181" customFormat="1" hidden="1" x14ac:dyDescent="0.2">
      <c r="C734" s="180"/>
    </row>
    <row r="735" spans="3:3" s="181" customFormat="1" hidden="1" x14ac:dyDescent="0.2">
      <c r="C735" s="180"/>
    </row>
    <row r="736" spans="3:3" s="181" customFormat="1" hidden="1" x14ac:dyDescent="0.2">
      <c r="C736" s="180"/>
    </row>
    <row r="737" spans="3:3" s="181" customFormat="1" hidden="1" x14ac:dyDescent="0.2">
      <c r="C737" s="180"/>
    </row>
    <row r="738" spans="3:3" s="181" customFormat="1" hidden="1" x14ac:dyDescent="0.2">
      <c r="C738" s="180"/>
    </row>
    <row r="739" spans="3:3" s="181" customFormat="1" hidden="1" x14ac:dyDescent="0.2">
      <c r="C739" s="180"/>
    </row>
    <row r="740" spans="3:3" s="181" customFormat="1" hidden="1" x14ac:dyDescent="0.2">
      <c r="C740" s="180"/>
    </row>
    <row r="741" spans="3:3" s="181" customFormat="1" hidden="1" x14ac:dyDescent="0.2">
      <c r="C741" s="180"/>
    </row>
    <row r="742" spans="3:3" s="181" customFormat="1" hidden="1" x14ac:dyDescent="0.2">
      <c r="C742" s="180"/>
    </row>
    <row r="743" spans="3:3" s="181" customFormat="1" hidden="1" x14ac:dyDescent="0.2">
      <c r="C743" s="180"/>
    </row>
    <row r="744" spans="3:3" s="181" customFormat="1" hidden="1" x14ac:dyDescent="0.2">
      <c r="C744" s="180"/>
    </row>
    <row r="745" spans="3:3" s="181" customFormat="1" hidden="1" x14ac:dyDescent="0.2">
      <c r="C745" s="180"/>
    </row>
    <row r="746" spans="3:3" s="181" customFormat="1" hidden="1" x14ac:dyDescent="0.2">
      <c r="C746" s="180"/>
    </row>
    <row r="747" spans="3:3" s="181" customFormat="1" hidden="1" x14ac:dyDescent="0.2">
      <c r="C747" s="180"/>
    </row>
    <row r="748" spans="3:3" s="181" customFormat="1" hidden="1" x14ac:dyDescent="0.2">
      <c r="C748" s="180"/>
    </row>
    <row r="749" spans="3:3" s="181" customFormat="1" hidden="1" x14ac:dyDescent="0.2">
      <c r="C749" s="180"/>
    </row>
    <row r="750" spans="3:3" s="181" customFormat="1" hidden="1" x14ac:dyDescent="0.2">
      <c r="C750" s="180"/>
    </row>
    <row r="751" spans="3:3" s="181" customFormat="1" hidden="1" x14ac:dyDescent="0.2">
      <c r="C751" s="180"/>
    </row>
    <row r="752" spans="3:3" s="181" customFormat="1" hidden="1" x14ac:dyDescent="0.2">
      <c r="C752" s="180"/>
    </row>
    <row r="753" spans="3:3" s="181" customFormat="1" hidden="1" x14ac:dyDescent="0.2">
      <c r="C753" s="180"/>
    </row>
    <row r="754" spans="3:3" s="181" customFormat="1" hidden="1" x14ac:dyDescent="0.2">
      <c r="C754" s="180"/>
    </row>
    <row r="755" spans="3:3" s="181" customFormat="1" hidden="1" x14ac:dyDescent="0.2">
      <c r="C755" s="180"/>
    </row>
    <row r="756" spans="3:3" s="181" customFormat="1" hidden="1" x14ac:dyDescent="0.2">
      <c r="C756" s="180"/>
    </row>
    <row r="757" spans="3:3" s="181" customFormat="1" hidden="1" x14ac:dyDescent="0.2">
      <c r="C757" s="180"/>
    </row>
    <row r="758" spans="3:3" s="181" customFormat="1" hidden="1" x14ac:dyDescent="0.2">
      <c r="C758" s="180"/>
    </row>
    <row r="759" spans="3:3" s="181" customFormat="1" hidden="1" x14ac:dyDescent="0.2">
      <c r="C759" s="180"/>
    </row>
    <row r="760" spans="3:3" s="181" customFormat="1" hidden="1" x14ac:dyDescent="0.2">
      <c r="C760" s="180"/>
    </row>
    <row r="761" spans="3:3" s="181" customFormat="1" hidden="1" x14ac:dyDescent="0.2">
      <c r="C761" s="180"/>
    </row>
    <row r="762" spans="3:3" s="181" customFormat="1" hidden="1" x14ac:dyDescent="0.2">
      <c r="C762" s="180"/>
    </row>
    <row r="763" spans="3:3" s="181" customFormat="1" hidden="1" x14ac:dyDescent="0.2">
      <c r="C763" s="180"/>
    </row>
    <row r="764" spans="3:3" s="181" customFormat="1" hidden="1" x14ac:dyDescent="0.2">
      <c r="C764" s="180"/>
    </row>
    <row r="765" spans="3:3" s="181" customFormat="1" hidden="1" x14ac:dyDescent="0.2">
      <c r="C765" s="180"/>
    </row>
    <row r="766" spans="3:3" s="181" customFormat="1" hidden="1" x14ac:dyDescent="0.2">
      <c r="C766" s="180"/>
    </row>
    <row r="767" spans="3:3" s="181" customFormat="1" hidden="1" x14ac:dyDescent="0.2">
      <c r="C767" s="180"/>
    </row>
    <row r="768" spans="3:3" s="181" customFormat="1" hidden="1" x14ac:dyDescent="0.2">
      <c r="C768" s="180"/>
    </row>
    <row r="769" spans="3:3" s="181" customFormat="1" hidden="1" x14ac:dyDescent="0.2">
      <c r="C769" s="180"/>
    </row>
    <row r="770" spans="3:3" s="181" customFormat="1" hidden="1" x14ac:dyDescent="0.2">
      <c r="C770" s="180"/>
    </row>
    <row r="771" spans="3:3" s="181" customFormat="1" hidden="1" x14ac:dyDescent="0.2">
      <c r="C771" s="180"/>
    </row>
    <row r="772" spans="3:3" s="181" customFormat="1" hidden="1" x14ac:dyDescent="0.2">
      <c r="C772" s="180"/>
    </row>
    <row r="773" spans="3:3" s="181" customFormat="1" hidden="1" x14ac:dyDescent="0.2">
      <c r="C773" s="180"/>
    </row>
    <row r="774" spans="3:3" s="181" customFormat="1" hidden="1" x14ac:dyDescent="0.2">
      <c r="C774" s="180"/>
    </row>
    <row r="775" spans="3:3" s="181" customFormat="1" hidden="1" x14ac:dyDescent="0.2">
      <c r="C775" s="180"/>
    </row>
    <row r="776" spans="3:3" s="181" customFormat="1" hidden="1" x14ac:dyDescent="0.2">
      <c r="C776" s="180"/>
    </row>
    <row r="777" spans="3:3" s="181" customFormat="1" hidden="1" x14ac:dyDescent="0.2">
      <c r="C777" s="180"/>
    </row>
    <row r="778" spans="3:3" s="181" customFormat="1" hidden="1" x14ac:dyDescent="0.2">
      <c r="C778" s="180"/>
    </row>
    <row r="779" spans="3:3" s="181" customFormat="1" hidden="1" x14ac:dyDescent="0.2">
      <c r="C779" s="180"/>
    </row>
    <row r="780" spans="3:3" s="181" customFormat="1" hidden="1" x14ac:dyDescent="0.2">
      <c r="C780" s="180"/>
    </row>
    <row r="781" spans="3:3" s="181" customFormat="1" hidden="1" x14ac:dyDescent="0.2">
      <c r="C781" s="180"/>
    </row>
    <row r="782" spans="3:3" s="181" customFormat="1" hidden="1" x14ac:dyDescent="0.2">
      <c r="C782" s="180"/>
    </row>
    <row r="783" spans="3:3" s="181" customFormat="1" hidden="1" x14ac:dyDescent="0.2">
      <c r="C783" s="180"/>
    </row>
    <row r="784" spans="3:3" s="181" customFormat="1" hidden="1" x14ac:dyDescent="0.2">
      <c r="C784" s="180"/>
    </row>
    <row r="785" spans="3:3" s="181" customFormat="1" hidden="1" x14ac:dyDescent="0.2">
      <c r="C785" s="180"/>
    </row>
    <row r="786" spans="3:3" s="181" customFormat="1" hidden="1" x14ac:dyDescent="0.2">
      <c r="C786" s="180"/>
    </row>
    <row r="787" spans="3:3" s="181" customFormat="1" hidden="1" x14ac:dyDescent="0.2">
      <c r="C787" s="180"/>
    </row>
    <row r="788" spans="3:3" s="181" customFormat="1" hidden="1" x14ac:dyDescent="0.2">
      <c r="C788" s="180"/>
    </row>
    <row r="789" spans="3:3" s="181" customFormat="1" hidden="1" x14ac:dyDescent="0.2">
      <c r="C789" s="180"/>
    </row>
    <row r="790" spans="3:3" s="181" customFormat="1" hidden="1" x14ac:dyDescent="0.2">
      <c r="C790" s="180"/>
    </row>
    <row r="791" spans="3:3" s="181" customFormat="1" hidden="1" x14ac:dyDescent="0.2">
      <c r="C791" s="180"/>
    </row>
    <row r="792" spans="3:3" s="181" customFormat="1" hidden="1" x14ac:dyDescent="0.2">
      <c r="C792" s="180"/>
    </row>
    <row r="793" spans="3:3" s="181" customFormat="1" hidden="1" x14ac:dyDescent="0.2">
      <c r="C793" s="180"/>
    </row>
    <row r="794" spans="3:3" s="181" customFormat="1" hidden="1" x14ac:dyDescent="0.2">
      <c r="C794" s="180"/>
    </row>
    <row r="795" spans="3:3" s="181" customFormat="1" hidden="1" x14ac:dyDescent="0.2">
      <c r="C795" s="180"/>
    </row>
    <row r="796" spans="3:3" s="181" customFormat="1" hidden="1" x14ac:dyDescent="0.2">
      <c r="C796" s="180"/>
    </row>
    <row r="797" spans="3:3" s="181" customFormat="1" hidden="1" x14ac:dyDescent="0.2">
      <c r="C797" s="180"/>
    </row>
    <row r="798" spans="3:3" s="181" customFormat="1" hidden="1" x14ac:dyDescent="0.2">
      <c r="C798" s="180"/>
    </row>
    <row r="799" spans="3:3" s="181" customFormat="1" hidden="1" x14ac:dyDescent="0.2">
      <c r="C799" s="180"/>
    </row>
    <row r="800" spans="3:3" s="181" customFormat="1" hidden="1" x14ac:dyDescent="0.2">
      <c r="C800" s="180"/>
    </row>
    <row r="801" spans="3:3" s="181" customFormat="1" hidden="1" x14ac:dyDescent="0.2">
      <c r="C801" s="180"/>
    </row>
    <row r="802" spans="3:3" s="181" customFormat="1" hidden="1" x14ac:dyDescent="0.2">
      <c r="C802" s="180"/>
    </row>
    <row r="803" spans="3:3" s="181" customFormat="1" hidden="1" x14ac:dyDescent="0.2">
      <c r="C803" s="180"/>
    </row>
    <row r="804" spans="3:3" s="181" customFormat="1" hidden="1" x14ac:dyDescent="0.2">
      <c r="C804" s="180"/>
    </row>
    <row r="805" spans="3:3" s="181" customFormat="1" hidden="1" x14ac:dyDescent="0.2">
      <c r="C805" s="180"/>
    </row>
    <row r="806" spans="3:3" s="181" customFormat="1" hidden="1" x14ac:dyDescent="0.2">
      <c r="C806" s="180"/>
    </row>
    <row r="807" spans="3:3" s="181" customFormat="1" hidden="1" x14ac:dyDescent="0.2">
      <c r="C807" s="180"/>
    </row>
    <row r="808" spans="3:3" s="181" customFormat="1" hidden="1" x14ac:dyDescent="0.2">
      <c r="C808" s="180"/>
    </row>
    <row r="809" spans="3:3" s="181" customFormat="1" hidden="1" x14ac:dyDescent="0.2">
      <c r="C809" s="180"/>
    </row>
    <row r="810" spans="3:3" s="181" customFormat="1" hidden="1" x14ac:dyDescent="0.2">
      <c r="C810" s="180"/>
    </row>
    <row r="811" spans="3:3" s="181" customFormat="1" hidden="1" x14ac:dyDescent="0.2">
      <c r="C811" s="180"/>
    </row>
    <row r="812" spans="3:3" s="181" customFormat="1" hidden="1" x14ac:dyDescent="0.2">
      <c r="C812" s="180"/>
    </row>
    <row r="813" spans="3:3" s="181" customFormat="1" hidden="1" x14ac:dyDescent="0.2">
      <c r="C813" s="180"/>
    </row>
    <row r="814" spans="3:3" s="181" customFormat="1" hidden="1" x14ac:dyDescent="0.2">
      <c r="C814" s="180"/>
    </row>
    <row r="815" spans="3:3" s="181" customFormat="1" hidden="1" x14ac:dyDescent="0.2">
      <c r="C815" s="180"/>
    </row>
    <row r="816" spans="3:3" s="181" customFormat="1" hidden="1" x14ac:dyDescent="0.2">
      <c r="C816" s="180"/>
    </row>
    <row r="817" spans="3:3" s="181" customFormat="1" hidden="1" x14ac:dyDescent="0.2">
      <c r="C817" s="180"/>
    </row>
    <row r="818" spans="3:3" s="181" customFormat="1" hidden="1" x14ac:dyDescent="0.2">
      <c r="C818" s="180"/>
    </row>
    <row r="819" spans="3:3" s="181" customFormat="1" hidden="1" x14ac:dyDescent="0.2">
      <c r="C819" s="180"/>
    </row>
    <row r="820" spans="3:3" s="181" customFormat="1" hidden="1" x14ac:dyDescent="0.2">
      <c r="C820" s="180"/>
    </row>
    <row r="821" spans="3:3" s="181" customFormat="1" hidden="1" x14ac:dyDescent="0.2">
      <c r="C821" s="180"/>
    </row>
    <row r="822" spans="3:3" s="181" customFormat="1" hidden="1" x14ac:dyDescent="0.2">
      <c r="C822" s="180"/>
    </row>
    <row r="823" spans="3:3" s="181" customFormat="1" hidden="1" x14ac:dyDescent="0.2">
      <c r="C823" s="180"/>
    </row>
    <row r="824" spans="3:3" s="181" customFormat="1" hidden="1" x14ac:dyDescent="0.2">
      <c r="C824" s="180"/>
    </row>
    <row r="825" spans="3:3" s="181" customFormat="1" hidden="1" x14ac:dyDescent="0.2">
      <c r="C825" s="180"/>
    </row>
    <row r="826" spans="3:3" s="181" customFormat="1" hidden="1" x14ac:dyDescent="0.2">
      <c r="C826" s="180"/>
    </row>
    <row r="827" spans="3:3" s="181" customFormat="1" hidden="1" x14ac:dyDescent="0.2">
      <c r="C827" s="180"/>
    </row>
    <row r="828" spans="3:3" s="181" customFormat="1" hidden="1" x14ac:dyDescent="0.2">
      <c r="C828" s="180"/>
    </row>
    <row r="829" spans="3:3" s="181" customFormat="1" hidden="1" x14ac:dyDescent="0.2">
      <c r="C829" s="180"/>
    </row>
    <row r="830" spans="3:3" s="181" customFormat="1" hidden="1" x14ac:dyDescent="0.2">
      <c r="C830" s="180"/>
    </row>
    <row r="831" spans="3:3" s="181" customFormat="1" hidden="1" x14ac:dyDescent="0.2">
      <c r="C831" s="180"/>
    </row>
    <row r="832" spans="3:3" s="181" customFormat="1" hidden="1" x14ac:dyDescent="0.2">
      <c r="C832" s="180"/>
    </row>
    <row r="833" spans="3:3" s="181" customFormat="1" hidden="1" x14ac:dyDescent="0.2">
      <c r="C833" s="180"/>
    </row>
    <row r="834" spans="3:3" s="181" customFormat="1" hidden="1" x14ac:dyDescent="0.2">
      <c r="C834" s="180"/>
    </row>
    <row r="835" spans="3:3" s="181" customFormat="1" hidden="1" x14ac:dyDescent="0.2">
      <c r="C835" s="180"/>
    </row>
    <row r="836" spans="3:3" s="181" customFormat="1" hidden="1" x14ac:dyDescent="0.2">
      <c r="C836" s="180"/>
    </row>
    <row r="837" spans="3:3" s="181" customFormat="1" hidden="1" x14ac:dyDescent="0.2">
      <c r="C837" s="180"/>
    </row>
    <row r="838" spans="3:3" s="181" customFormat="1" hidden="1" x14ac:dyDescent="0.2">
      <c r="C838" s="180"/>
    </row>
    <row r="839" spans="3:3" s="181" customFormat="1" hidden="1" x14ac:dyDescent="0.2">
      <c r="C839" s="180"/>
    </row>
    <row r="840" spans="3:3" s="181" customFormat="1" hidden="1" x14ac:dyDescent="0.2">
      <c r="C840" s="180"/>
    </row>
    <row r="841" spans="3:3" s="181" customFormat="1" hidden="1" x14ac:dyDescent="0.2">
      <c r="C841" s="180"/>
    </row>
    <row r="842" spans="3:3" s="181" customFormat="1" hidden="1" x14ac:dyDescent="0.2">
      <c r="C842" s="180"/>
    </row>
    <row r="843" spans="3:3" s="181" customFormat="1" hidden="1" x14ac:dyDescent="0.2">
      <c r="C843" s="180"/>
    </row>
    <row r="844" spans="3:3" s="181" customFormat="1" hidden="1" x14ac:dyDescent="0.2">
      <c r="C844" s="180"/>
    </row>
    <row r="845" spans="3:3" s="181" customFormat="1" hidden="1" x14ac:dyDescent="0.2">
      <c r="C845" s="180"/>
    </row>
    <row r="846" spans="3:3" s="181" customFormat="1" hidden="1" x14ac:dyDescent="0.2">
      <c r="C846" s="180"/>
    </row>
    <row r="847" spans="3:3" s="181" customFormat="1" hidden="1" x14ac:dyDescent="0.2">
      <c r="C847" s="180"/>
    </row>
    <row r="848" spans="3:3" s="181" customFormat="1" hidden="1" x14ac:dyDescent="0.2">
      <c r="C848" s="180"/>
    </row>
    <row r="849" spans="3:3" s="181" customFormat="1" hidden="1" x14ac:dyDescent="0.2">
      <c r="C849" s="180"/>
    </row>
    <row r="850" spans="3:3" s="181" customFormat="1" hidden="1" x14ac:dyDescent="0.2">
      <c r="C850" s="180"/>
    </row>
    <row r="851" spans="3:3" s="181" customFormat="1" hidden="1" x14ac:dyDescent="0.2">
      <c r="C851" s="180"/>
    </row>
    <row r="852" spans="3:3" s="181" customFormat="1" hidden="1" x14ac:dyDescent="0.2">
      <c r="C852" s="180"/>
    </row>
    <row r="853" spans="3:3" s="181" customFormat="1" hidden="1" x14ac:dyDescent="0.2">
      <c r="C853" s="180"/>
    </row>
    <row r="854" spans="3:3" s="181" customFormat="1" hidden="1" x14ac:dyDescent="0.2">
      <c r="C854" s="180"/>
    </row>
    <row r="855" spans="3:3" s="181" customFormat="1" hidden="1" x14ac:dyDescent="0.2">
      <c r="C855" s="180"/>
    </row>
    <row r="856" spans="3:3" s="181" customFormat="1" hidden="1" x14ac:dyDescent="0.2">
      <c r="C856" s="180"/>
    </row>
    <row r="857" spans="3:3" s="181" customFormat="1" hidden="1" x14ac:dyDescent="0.2">
      <c r="C857" s="180"/>
    </row>
    <row r="858" spans="3:3" s="181" customFormat="1" hidden="1" x14ac:dyDescent="0.2">
      <c r="C858" s="180"/>
    </row>
    <row r="859" spans="3:3" s="181" customFormat="1" hidden="1" x14ac:dyDescent="0.2">
      <c r="C859" s="180"/>
    </row>
    <row r="860" spans="3:3" s="181" customFormat="1" hidden="1" x14ac:dyDescent="0.2">
      <c r="C860" s="180"/>
    </row>
    <row r="861" spans="3:3" s="181" customFormat="1" hidden="1" x14ac:dyDescent="0.2">
      <c r="C861" s="180"/>
    </row>
    <row r="862" spans="3:3" s="181" customFormat="1" hidden="1" x14ac:dyDescent="0.2">
      <c r="C862" s="180"/>
    </row>
    <row r="863" spans="3:3" s="181" customFormat="1" hidden="1" x14ac:dyDescent="0.2">
      <c r="C863" s="180"/>
    </row>
    <row r="864" spans="3:3" s="181" customFormat="1" hidden="1" x14ac:dyDescent="0.2">
      <c r="C864" s="180"/>
    </row>
    <row r="865" spans="3:3" s="181" customFormat="1" hidden="1" x14ac:dyDescent="0.2">
      <c r="C865" s="180"/>
    </row>
    <row r="866" spans="3:3" s="181" customFormat="1" hidden="1" x14ac:dyDescent="0.2">
      <c r="C866" s="180"/>
    </row>
    <row r="867" spans="3:3" s="181" customFormat="1" hidden="1" x14ac:dyDescent="0.2">
      <c r="C867" s="180"/>
    </row>
    <row r="868" spans="3:3" s="181" customFormat="1" hidden="1" x14ac:dyDescent="0.2">
      <c r="C868" s="180"/>
    </row>
    <row r="869" spans="3:3" s="181" customFormat="1" hidden="1" x14ac:dyDescent="0.2">
      <c r="C869" s="180"/>
    </row>
    <row r="870" spans="3:3" s="181" customFormat="1" hidden="1" x14ac:dyDescent="0.2">
      <c r="C870" s="180"/>
    </row>
    <row r="871" spans="3:3" s="181" customFormat="1" hidden="1" x14ac:dyDescent="0.2">
      <c r="C871" s="180"/>
    </row>
    <row r="872" spans="3:3" s="181" customFormat="1" hidden="1" x14ac:dyDescent="0.2">
      <c r="C872" s="180"/>
    </row>
    <row r="873" spans="3:3" s="181" customFormat="1" hidden="1" x14ac:dyDescent="0.2">
      <c r="C873" s="180"/>
    </row>
    <row r="874" spans="3:3" s="181" customFormat="1" hidden="1" x14ac:dyDescent="0.2">
      <c r="C874" s="180"/>
    </row>
    <row r="875" spans="3:3" s="181" customFormat="1" hidden="1" x14ac:dyDescent="0.2">
      <c r="C875" s="180"/>
    </row>
    <row r="876" spans="3:3" s="181" customFormat="1" hidden="1" x14ac:dyDescent="0.2">
      <c r="C876" s="180"/>
    </row>
    <row r="877" spans="3:3" s="181" customFormat="1" hidden="1" x14ac:dyDescent="0.2">
      <c r="C877" s="180"/>
    </row>
    <row r="878" spans="3:3" s="181" customFormat="1" hidden="1" x14ac:dyDescent="0.2">
      <c r="C878" s="180"/>
    </row>
    <row r="879" spans="3:3" s="181" customFormat="1" hidden="1" x14ac:dyDescent="0.2">
      <c r="C879" s="180"/>
    </row>
    <row r="880" spans="3:3" s="181" customFormat="1" hidden="1" x14ac:dyDescent="0.2">
      <c r="C880" s="180"/>
    </row>
    <row r="881" spans="3:3" s="181" customFormat="1" hidden="1" x14ac:dyDescent="0.2">
      <c r="C881" s="180"/>
    </row>
    <row r="882" spans="3:3" s="181" customFormat="1" hidden="1" x14ac:dyDescent="0.2">
      <c r="C882" s="180"/>
    </row>
    <row r="883" spans="3:3" s="181" customFormat="1" hidden="1" x14ac:dyDescent="0.2">
      <c r="C883" s="180"/>
    </row>
    <row r="884" spans="3:3" s="181" customFormat="1" hidden="1" x14ac:dyDescent="0.2">
      <c r="C884" s="180"/>
    </row>
    <row r="885" spans="3:3" s="181" customFormat="1" hidden="1" x14ac:dyDescent="0.2">
      <c r="C885" s="180"/>
    </row>
    <row r="886" spans="3:3" s="181" customFormat="1" hidden="1" x14ac:dyDescent="0.2">
      <c r="C886" s="180"/>
    </row>
    <row r="887" spans="3:3" s="181" customFormat="1" hidden="1" x14ac:dyDescent="0.2">
      <c r="C887" s="180"/>
    </row>
    <row r="888" spans="3:3" s="181" customFormat="1" hidden="1" x14ac:dyDescent="0.2">
      <c r="C888" s="180"/>
    </row>
    <row r="889" spans="3:3" s="181" customFormat="1" hidden="1" x14ac:dyDescent="0.2">
      <c r="C889" s="180"/>
    </row>
    <row r="890" spans="3:3" s="181" customFormat="1" hidden="1" x14ac:dyDescent="0.2">
      <c r="C890" s="180"/>
    </row>
    <row r="891" spans="3:3" s="181" customFormat="1" hidden="1" x14ac:dyDescent="0.2">
      <c r="C891" s="180"/>
    </row>
    <row r="892" spans="3:3" s="181" customFormat="1" hidden="1" x14ac:dyDescent="0.2">
      <c r="C892" s="180"/>
    </row>
    <row r="893" spans="3:3" s="181" customFormat="1" hidden="1" x14ac:dyDescent="0.2">
      <c r="C893" s="180"/>
    </row>
    <row r="894" spans="3:3" s="181" customFormat="1" hidden="1" x14ac:dyDescent="0.2">
      <c r="C894" s="180"/>
    </row>
    <row r="895" spans="3:3" s="181" customFormat="1" hidden="1" x14ac:dyDescent="0.2">
      <c r="C895" s="180"/>
    </row>
    <row r="896" spans="3:3" s="181" customFormat="1" hidden="1" x14ac:dyDescent="0.2">
      <c r="C896" s="180"/>
    </row>
    <row r="897" spans="3:3" s="181" customFormat="1" hidden="1" x14ac:dyDescent="0.2">
      <c r="C897" s="180"/>
    </row>
    <row r="898" spans="3:3" s="181" customFormat="1" hidden="1" x14ac:dyDescent="0.2">
      <c r="C898" s="180"/>
    </row>
    <row r="899" spans="3:3" s="181" customFormat="1" hidden="1" x14ac:dyDescent="0.2">
      <c r="C899" s="180"/>
    </row>
    <row r="900" spans="3:3" s="181" customFormat="1" hidden="1" x14ac:dyDescent="0.2">
      <c r="C900" s="180"/>
    </row>
    <row r="901" spans="3:3" s="181" customFormat="1" hidden="1" x14ac:dyDescent="0.2">
      <c r="C901" s="180"/>
    </row>
    <row r="902" spans="3:3" s="181" customFormat="1" hidden="1" x14ac:dyDescent="0.2">
      <c r="C902" s="180"/>
    </row>
    <row r="903" spans="3:3" s="181" customFormat="1" hidden="1" x14ac:dyDescent="0.2">
      <c r="C903" s="180"/>
    </row>
    <row r="904" spans="3:3" s="181" customFormat="1" hidden="1" x14ac:dyDescent="0.2">
      <c r="C904" s="180"/>
    </row>
    <row r="905" spans="3:3" s="181" customFormat="1" hidden="1" x14ac:dyDescent="0.2">
      <c r="C905" s="180"/>
    </row>
    <row r="906" spans="3:3" s="181" customFormat="1" hidden="1" x14ac:dyDescent="0.2">
      <c r="C906" s="180"/>
    </row>
    <row r="907" spans="3:3" s="181" customFormat="1" hidden="1" x14ac:dyDescent="0.2">
      <c r="C907" s="180"/>
    </row>
    <row r="908" spans="3:3" s="181" customFormat="1" hidden="1" x14ac:dyDescent="0.2">
      <c r="C908" s="180"/>
    </row>
    <row r="909" spans="3:3" s="181" customFormat="1" hidden="1" x14ac:dyDescent="0.2">
      <c r="C909" s="180"/>
    </row>
    <row r="910" spans="3:3" s="181" customFormat="1" hidden="1" x14ac:dyDescent="0.2">
      <c r="C910" s="180"/>
    </row>
    <row r="911" spans="3:3" s="181" customFormat="1" hidden="1" x14ac:dyDescent="0.2">
      <c r="C911" s="180"/>
    </row>
    <row r="912" spans="3:3" s="181" customFormat="1" hidden="1" x14ac:dyDescent="0.2">
      <c r="C912" s="180"/>
    </row>
    <row r="913" spans="3:3" s="181" customFormat="1" hidden="1" x14ac:dyDescent="0.2">
      <c r="C913" s="180"/>
    </row>
    <row r="914" spans="3:3" s="181" customFormat="1" hidden="1" x14ac:dyDescent="0.2">
      <c r="C914" s="180"/>
    </row>
    <row r="915" spans="3:3" s="181" customFormat="1" hidden="1" x14ac:dyDescent="0.2">
      <c r="C915" s="180"/>
    </row>
    <row r="916" spans="3:3" s="181" customFormat="1" hidden="1" x14ac:dyDescent="0.2">
      <c r="C916" s="180"/>
    </row>
    <row r="917" spans="3:3" s="181" customFormat="1" hidden="1" x14ac:dyDescent="0.2">
      <c r="C917" s="180"/>
    </row>
    <row r="918" spans="3:3" s="181" customFormat="1" hidden="1" x14ac:dyDescent="0.2">
      <c r="C918" s="180"/>
    </row>
    <row r="919" spans="3:3" s="181" customFormat="1" hidden="1" x14ac:dyDescent="0.2">
      <c r="C919" s="180"/>
    </row>
    <row r="920" spans="3:3" s="181" customFormat="1" hidden="1" x14ac:dyDescent="0.2">
      <c r="C920" s="180"/>
    </row>
    <row r="921" spans="3:3" s="181" customFormat="1" hidden="1" x14ac:dyDescent="0.2">
      <c r="C921" s="180"/>
    </row>
    <row r="922" spans="3:3" s="181" customFormat="1" hidden="1" x14ac:dyDescent="0.2">
      <c r="C922" s="180"/>
    </row>
    <row r="923" spans="3:3" s="181" customFormat="1" hidden="1" x14ac:dyDescent="0.2">
      <c r="C923" s="180"/>
    </row>
    <row r="924" spans="3:3" s="181" customFormat="1" hidden="1" x14ac:dyDescent="0.2">
      <c r="C924" s="180"/>
    </row>
    <row r="925" spans="3:3" s="181" customFormat="1" hidden="1" x14ac:dyDescent="0.2">
      <c r="C925" s="180"/>
    </row>
    <row r="926" spans="3:3" s="181" customFormat="1" hidden="1" x14ac:dyDescent="0.2">
      <c r="C926" s="180"/>
    </row>
    <row r="927" spans="3:3" s="181" customFormat="1" hidden="1" x14ac:dyDescent="0.2">
      <c r="C927" s="180"/>
    </row>
    <row r="928" spans="3:3" s="181" customFormat="1" hidden="1" x14ac:dyDescent="0.2">
      <c r="C928" s="180"/>
    </row>
    <row r="929" spans="3:3" s="181" customFormat="1" hidden="1" x14ac:dyDescent="0.2">
      <c r="C929" s="180"/>
    </row>
    <row r="930" spans="3:3" s="181" customFormat="1" hidden="1" x14ac:dyDescent="0.2">
      <c r="C930" s="180"/>
    </row>
    <row r="931" spans="3:3" s="181" customFormat="1" hidden="1" x14ac:dyDescent="0.2">
      <c r="C931" s="180"/>
    </row>
    <row r="932" spans="3:3" s="181" customFormat="1" hidden="1" x14ac:dyDescent="0.2">
      <c r="C932" s="180"/>
    </row>
    <row r="933" spans="3:3" s="181" customFormat="1" hidden="1" x14ac:dyDescent="0.2">
      <c r="C933" s="180"/>
    </row>
    <row r="934" spans="3:3" s="181" customFormat="1" hidden="1" x14ac:dyDescent="0.2">
      <c r="C934" s="180"/>
    </row>
    <row r="935" spans="3:3" s="181" customFormat="1" hidden="1" x14ac:dyDescent="0.2">
      <c r="C935" s="180"/>
    </row>
    <row r="936" spans="3:3" s="181" customFormat="1" hidden="1" x14ac:dyDescent="0.2">
      <c r="C936" s="180"/>
    </row>
    <row r="937" spans="3:3" s="181" customFormat="1" hidden="1" x14ac:dyDescent="0.2">
      <c r="C937" s="180"/>
    </row>
    <row r="938" spans="3:3" s="181" customFormat="1" hidden="1" x14ac:dyDescent="0.2">
      <c r="C938" s="180"/>
    </row>
    <row r="939" spans="3:3" s="181" customFormat="1" hidden="1" x14ac:dyDescent="0.2">
      <c r="C939" s="180"/>
    </row>
    <row r="940" spans="3:3" s="181" customFormat="1" hidden="1" x14ac:dyDescent="0.2">
      <c r="C940" s="180"/>
    </row>
    <row r="941" spans="3:3" s="181" customFormat="1" hidden="1" x14ac:dyDescent="0.2">
      <c r="C941" s="180"/>
    </row>
    <row r="942" spans="3:3" s="181" customFormat="1" hidden="1" x14ac:dyDescent="0.2">
      <c r="C942" s="180"/>
    </row>
    <row r="943" spans="3:3" s="181" customFormat="1" hidden="1" x14ac:dyDescent="0.2">
      <c r="C943" s="180"/>
    </row>
    <row r="944" spans="3:3" s="181" customFormat="1" hidden="1" x14ac:dyDescent="0.2">
      <c r="C944" s="180"/>
    </row>
    <row r="945" spans="3:3" s="181" customFormat="1" hidden="1" x14ac:dyDescent="0.2">
      <c r="C945" s="180"/>
    </row>
    <row r="946" spans="3:3" s="181" customFormat="1" hidden="1" x14ac:dyDescent="0.2">
      <c r="C946" s="180"/>
    </row>
    <row r="947" spans="3:3" s="181" customFormat="1" hidden="1" x14ac:dyDescent="0.2">
      <c r="C947" s="180"/>
    </row>
    <row r="948" spans="3:3" s="181" customFormat="1" hidden="1" x14ac:dyDescent="0.2">
      <c r="C948" s="180"/>
    </row>
    <row r="949" spans="3:3" s="181" customFormat="1" hidden="1" x14ac:dyDescent="0.2">
      <c r="C949" s="180"/>
    </row>
    <row r="950" spans="3:3" s="181" customFormat="1" hidden="1" x14ac:dyDescent="0.2">
      <c r="C950" s="180"/>
    </row>
    <row r="951" spans="3:3" s="181" customFormat="1" hidden="1" x14ac:dyDescent="0.2">
      <c r="C951" s="180"/>
    </row>
    <row r="952" spans="3:3" s="181" customFormat="1" hidden="1" x14ac:dyDescent="0.2">
      <c r="C952" s="180"/>
    </row>
    <row r="953" spans="3:3" s="181" customFormat="1" hidden="1" x14ac:dyDescent="0.2">
      <c r="C953" s="180"/>
    </row>
    <row r="954" spans="3:3" s="181" customFormat="1" hidden="1" x14ac:dyDescent="0.2">
      <c r="C954" s="180"/>
    </row>
    <row r="955" spans="3:3" s="181" customFormat="1" hidden="1" x14ac:dyDescent="0.2">
      <c r="C955" s="180"/>
    </row>
    <row r="956" spans="3:3" s="181" customFormat="1" hidden="1" x14ac:dyDescent="0.2">
      <c r="C956" s="180"/>
    </row>
    <row r="957" spans="3:3" s="181" customFormat="1" hidden="1" x14ac:dyDescent="0.2">
      <c r="C957" s="180"/>
    </row>
    <row r="958" spans="3:3" s="181" customFormat="1" hidden="1" x14ac:dyDescent="0.2">
      <c r="C958" s="180"/>
    </row>
    <row r="959" spans="3:3" s="181" customFormat="1" hidden="1" x14ac:dyDescent="0.2">
      <c r="C959" s="180"/>
    </row>
    <row r="960" spans="3:3" s="181" customFormat="1" hidden="1" x14ac:dyDescent="0.2">
      <c r="C960" s="180"/>
    </row>
    <row r="961" spans="3:3" s="181" customFormat="1" hidden="1" x14ac:dyDescent="0.2">
      <c r="C961" s="180"/>
    </row>
    <row r="962" spans="3:3" s="181" customFormat="1" hidden="1" x14ac:dyDescent="0.2">
      <c r="C962" s="180"/>
    </row>
    <row r="963" spans="3:3" s="181" customFormat="1" hidden="1" x14ac:dyDescent="0.2">
      <c r="C963" s="180"/>
    </row>
    <row r="964" spans="3:3" s="181" customFormat="1" hidden="1" x14ac:dyDescent="0.2">
      <c r="C964" s="180"/>
    </row>
    <row r="965" spans="3:3" s="181" customFormat="1" hidden="1" x14ac:dyDescent="0.2">
      <c r="C965" s="180"/>
    </row>
    <row r="966" spans="3:3" s="181" customFormat="1" hidden="1" x14ac:dyDescent="0.2">
      <c r="C966" s="180"/>
    </row>
    <row r="967" spans="3:3" s="181" customFormat="1" hidden="1" x14ac:dyDescent="0.2">
      <c r="C967" s="180"/>
    </row>
    <row r="968" spans="3:3" s="181" customFormat="1" hidden="1" x14ac:dyDescent="0.2">
      <c r="C968" s="180"/>
    </row>
    <row r="969" spans="3:3" s="181" customFormat="1" hidden="1" x14ac:dyDescent="0.2">
      <c r="C969" s="180"/>
    </row>
    <row r="970" spans="3:3" s="181" customFormat="1" hidden="1" x14ac:dyDescent="0.2">
      <c r="C970" s="180"/>
    </row>
    <row r="971" spans="3:3" s="181" customFormat="1" hidden="1" x14ac:dyDescent="0.2">
      <c r="C971" s="180"/>
    </row>
    <row r="972" spans="3:3" s="181" customFormat="1" hidden="1" x14ac:dyDescent="0.2">
      <c r="C972" s="180"/>
    </row>
    <row r="973" spans="3:3" s="181" customFormat="1" hidden="1" x14ac:dyDescent="0.2">
      <c r="C973" s="180"/>
    </row>
    <row r="974" spans="3:3" s="181" customFormat="1" hidden="1" x14ac:dyDescent="0.2">
      <c r="C974" s="180"/>
    </row>
    <row r="975" spans="3:3" s="181" customFormat="1" hidden="1" x14ac:dyDescent="0.2">
      <c r="C975" s="180"/>
    </row>
    <row r="976" spans="3:3" s="181" customFormat="1" hidden="1" x14ac:dyDescent="0.2">
      <c r="C976" s="180"/>
    </row>
    <row r="977" spans="3:3" s="181" customFormat="1" hidden="1" x14ac:dyDescent="0.2">
      <c r="C977" s="180"/>
    </row>
    <row r="978" spans="3:3" s="181" customFormat="1" hidden="1" x14ac:dyDescent="0.2">
      <c r="C978" s="180"/>
    </row>
    <row r="979" spans="3:3" s="181" customFormat="1" hidden="1" x14ac:dyDescent="0.2">
      <c r="C979" s="180"/>
    </row>
    <row r="980" spans="3:3" s="181" customFormat="1" hidden="1" x14ac:dyDescent="0.2">
      <c r="C980" s="180"/>
    </row>
    <row r="981" spans="3:3" s="181" customFormat="1" hidden="1" x14ac:dyDescent="0.2">
      <c r="C981" s="180"/>
    </row>
    <row r="982" spans="3:3" s="181" customFormat="1" hidden="1" x14ac:dyDescent="0.2">
      <c r="C982" s="180"/>
    </row>
    <row r="983" spans="3:3" s="181" customFormat="1" hidden="1" x14ac:dyDescent="0.2">
      <c r="C983" s="180"/>
    </row>
    <row r="984" spans="3:3" s="181" customFormat="1" hidden="1" x14ac:dyDescent="0.2">
      <c r="C984" s="180"/>
    </row>
    <row r="985" spans="3:3" s="181" customFormat="1" hidden="1" x14ac:dyDescent="0.2">
      <c r="C985" s="180"/>
    </row>
    <row r="986" spans="3:3" s="181" customFormat="1" hidden="1" x14ac:dyDescent="0.2">
      <c r="C986" s="180"/>
    </row>
    <row r="987" spans="3:3" s="181" customFormat="1" hidden="1" x14ac:dyDescent="0.2">
      <c r="C987" s="180"/>
    </row>
    <row r="988" spans="3:3" s="181" customFormat="1" hidden="1" x14ac:dyDescent="0.2">
      <c r="C988" s="180"/>
    </row>
    <row r="989" spans="3:3" s="181" customFormat="1" hidden="1" x14ac:dyDescent="0.2">
      <c r="C989" s="180"/>
    </row>
    <row r="990" spans="3:3" s="181" customFormat="1" hidden="1" x14ac:dyDescent="0.2">
      <c r="C990" s="180"/>
    </row>
    <row r="991" spans="3:3" s="181" customFormat="1" hidden="1" x14ac:dyDescent="0.2">
      <c r="C991" s="180"/>
    </row>
    <row r="992" spans="3:3" s="181" customFormat="1" hidden="1" x14ac:dyDescent="0.2">
      <c r="C992" s="180"/>
    </row>
    <row r="993" spans="3:3" s="181" customFormat="1" hidden="1" x14ac:dyDescent="0.2">
      <c r="C993" s="180"/>
    </row>
    <row r="994" spans="3:3" s="181" customFormat="1" hidden="1" x14ac:dyDescent="0.2">
      <c r="C994" s="180"/>
    </row>
    <row r="995" spans="3:3" s="181" customFormat="1" hidden="1" x14ac:dyDescent="0.2">
      <c r="C995" s="180"/>
    </row>
    <row r="996" spans="3:3" s="181" customFormat="1" hidden="1" x14ac:dyDescent="0.2">
      <c r="C996" s="180"/>
    </row>
    <row r="997" spans="3:3" s="181" customFormat="1" hidden="1" x14ac:dyDescent="0.2">
      <c r="C997" s="180"/>
    </row>
    <row r="998" spans="3:3" s="181" customFormat="1" hidden="1" x14ac:dyDescent="0.2">
      <c r="C998" s="180"/>
    </row>
    <row r="999" spans="3:3" s="181" customFormat="1" hidden="1" x14ac:dyDescent="0.2">
      <c r="C999" s="180"/>
    </row>
    <row r="1000" spans="3:3" s="181" customFormat="1" hidden="1" x14ac:dyDescent="0.2">
      <c r="C1000" s="180"/>
    </row>
    <row r="1001" spans="3:3" s="181" customFormat="1" hidden="1" x14ac:dyDescent="0.2">
      <c r="C1001" s="180"/>
    </row>
    <row r="1002" spans="3:3" s="181" customFormat="1" hidden="1" x14ac:dyDescent="0.2">
      <c r="C1002" s="180"/>
    </row>
    <row r="1003" spans="3:3" s="181" customFormat="1" hidden="1" x14ac:dyDescent="0.2">
      <c r="C1003" s="180"/>
    </row>
    <row r="1004" spans="3:3" s="181" customFormat="1" hidden="1" x14ac:dyDescent="0.2">
      <c r="C1004" s="180"/>
    </row>
    <row r="1005" spans="3:3" s="181" customFormat="1" hidden="1" x14ac:dyDescent="0.2">
      <c r="C1005" s="180"/>
    </row>
    <row r="1006" spans="3:3" s="181" customFormat="1" hidden="1" x14ac:dyDescent="0.2">
      <c r="C1006" s="180"/>
    </row>
    <row r="1007" spans="3:3" s="181" customFormat="1" hidden="1" x14ac:dyDescent="0.2">
      <c r="C1007" s="180"/>
    </row>
    <row r="1008" spans="3:3" s="181" customFormat="1" hidden="1" x14ac:dyDescent="0.2">
      <c r="C1008" s="180"/>
    </row>
    <row r="1009" spans="3:3" s="181" customFormat="1" hidden="1" x14ac:dyDescent="0.2">
      <c r="C1009" s="180"/>
    </row>
    <row r="1010" spans="3:3" s="181" customFormat="1" hidden="1" x14ac:dyDescent="0.2">
      <c r="C1010" s="180"/>
    </row>
    <row r="1011" spans="3:3" s="181" customFormat="1" hidden="1" x14ac:dyDescent="0.2">
      <c r="C1011" s="180"/>
    </row>
    <row r="1012" spans="3:3" s="181" customFormat="1" hidden="1" x14ac:dyDescent="0.2">
      <c r="C1012" s="180"/>
    </row>
    <row r="1013" spans="3:3" s="181" customFormat="1" hidden="1" x14ac:dyDescent="0.2">
      <c r="C1013" s="180"/>
    </row>
    <row r="1014" spans="3:3" s="181" customFormat="1" hidden="1" x14ac:dyDescent="0.2">
      <c r="C1014" s="180"/>
    </row>
    <row r="1015" spans="3:3" s="181" customFormat="1" hidden="1" x14ac:dyDescent="0.2">
      <c r="C1015" s="180"/>
    </row>
    <row r="1016" spans="3:3" s="181" customFormat="1" hidden="1" x14ac:dyDescent="0.2">
      <c r="C1016" s="180"/>
    </row>
    <row r="1017" spans="3:3" s="181" customFormat="1" hidden="1" x14ac:dyDescent="0.2">
      <c r="C1017" s="180"/>
    </row>
    <row r="1018" spans="3:3" s="181" customFormat="1" hidden="1" x14ac:dyDescent="0.2">
      <c r="C1018" s="180"/>
    </row>
    <row r="1019" spans="3:3" s="181" customFormat="1" hidden="1" x14ac:dyDescent="0.2">
      <c r="C1019" s="180"/>
    </row>
    <row r="1020" spans="3:3" s="181" customFormat="1" hidden="1" x14ac:dyDescent="0.2">
      <c r="C1020" s="180"/>
    </row>
    <row r="1021" spans="3:3" s="181" customFormat="1" hidden="1" x14ac:dyDescent="0.2">
      <c r="C1021" s="180"/>
    </row>
    <row r="1022" spans="3:3" s="181" customFormat="1" hidden="1" x14ac:dyDescent="0.2">
      <c r="C1022" s="180"/>
    </row>
    <row r="1023" spans="3:3" s="181" customFormat="1" hidden="1" x14ac:dyDescent="0.2">
      <c r="C1023" s="180"/>
    </row>
    <row r="1024" spans="3:3" s="181" customFormat="1" hidden="1" x14ac:dyDescent="0.2">
      <c r="C1024" s="180"/>
    </row>
    <row r="1025" spans="3:3" s="181" customFormat="1" hidden="1" x14ac:dyDescent="0.2">
      <c r="C1025" s="180"/>
    </row>
    <row r="1026" spans="3:3" s="181" customFormat="1" hidden="1" x14ac:dyDescent="0.2">
      <c r="C1026" s="180"/>
    </row>
    <row r="1027" spans="3:3" s="181" customFormat="1" hidden="1" x14ac:dyDescent="0.2">
      <c r="C1027" s="180"/>
    </row>
    <row r="1028" spans="3:3" s="181" customFormat="1" hidden="1" x14ac:dyDescent="0.2">
      <c r="C1028" s="180"/>
    </row>
    <row r="1029" spans="3:3" s="181" customFormat="1" hidden="1" x14ac:dyDescent="0.2">
      <c r="C1029" s="180"/>
    </row>
    <row r="1030" spans="3:3" s="181" customFormat="1" hidden="1" x14ac:dyDescent="0.2">
      <c r="C1030" s="180"/>
    </row>
    <row r="1031" spans="3:3" s="181" customFormat="1" hidden="1" x14ac:dyDescent="0.2">
      <c r="C1031" s="180"/>
    </row>
    <row r="1032" spans="3:3" s="181" customFormat="1" hidden="1" x14ac:dyDescent="0.2">
      <c r="C1032" s="180"/>
    </row>
    <row r="1033" spans="3:3" s="181" customFormat="1" hidden="1" x14ac:dyDescent="0.2">
      <c r="C1033" s="180"/>
    </row>
    <row r="1034" spans="3:3" s="181" customFormat="1" hidden="1" x14ac:dyDescent="0.2">
      <c r="C1034" s="180"/>
    </row>
    <row r="1035" spans="3:3" s="181" customFormat="1" hidden="1" x14ac:dyDescent="0.2">
      <c r="C1035" s="180"/>
    </row>
    <row r="1036" spans="3:3" s="181" customFormat="1" hidden="1" x14ac:dyDescent="0.2">
      <c r="C1036" s="180"/>
    </row>
    <row r="1037" spans="3:3" s="181" customFormat="1" hidden="1" x14ac:dyDescent="0.2">
      <c r="C1037" s="180"/>
    </row>
    <row r="1038" spans="3:3" s="181" customFormat="1" hidden="1" x14ac:dyDescent="0.2">
      <c r="C1038" s="180"/>
    </row>
    <row r="1039" spans="3:3" s="181" customFormat="1" hidden="1" x14ac:dyDescent="0.2">
      <c r="C1039" s="180"/>
    </row>
    <row r="1040" spans="3:3" s="181" customFormat="1" hidden="1" x14ac:dyDescent="0.2">
      <c r="C1040" s="180"/>
    </row>
    <row r="1041" spans="3:3" s="181" customFormat="1" hidden="1" x14ac:dyDescent="0.2">
      <c r="C1041" s="180"/>
    </row>
    <row r="1042" spans="3:3" s="181" customFormat="1" hidden="1" x14ac:dyDescent="0.2">
      <c r="C1042" s="180"/>
    </row>
    <row r="1043" spans="3:3" s="181" customFormat="1" hidden="1" x14ac:dyDescent="0.2">
      <c r="C1043" s="180"/>
    </row>
    <row r="1044" spans="3:3" s="181" customFormat="1" hidden="1" x14ac:dyDescent="0.2">
      <c r="C1044" s="180"/>
    </row>
    <row r="1045" spans="3:3" s="181" customFormat="1" hidden="1" x14ac:dyDescent="0.2">
      <c r="C1045" s="180"/>
    </row>
    <row r="1046" spans="3:3" s="181" customFormat="1" hidden="1" x14ac:dyDescent="0.2">
      <c r="C1046" s="180"/>
    </row>
    <row r="1047" spans="3:3" s="181" customFormat="1" hidden="1" x14ac:dyDescent="0.2">
      <c r="C1047" s="180"/>
    </row>
    <row r="1048" spans="3:3" s="181" customFormat="1" hidden="1" x14ac:dyDescent="0.2">
      <c r="C1048" s="180"/>
    </row>
    <row r="1049" spans="3:3" s="181" customFormat="1" hidden="1" x14ac:dyDescent="0.2">
      <c r="C1049" s="180"/>
    </row>
    <row r="1050" spans="3:3" s="181" customFormat="1" hidden="1" x14ac:dyDescent="0.2">
      <c r="C1050" s="180"/>
    </row>
    <row r="1051" spans="3:3" s="181" customFormat="1" hidden="1" x14ac:dyDescent="0.2">
      <c r="C1051" s="180"/>
    </row>
    <row r="1052" spans="3:3" s="181" customFormat="1" hidden="1" x14ac:dyDescent="0.2">
      <c r="C1052" s="180"/>
    </row>
    <row r="1053" spans="3:3" s="181" customFormat="1" hidden="1" x14ac:dyDescent="0.2">
      <c r="C1053" s="180"/>
    </row>
    <row r="1054" spans="3:3" s="181" customFormat="1" hidden="1" x14ac:dyDescent="0.2">
      <c r="C1054" s="180"/>
    </row>
    <row r="1055" spans="3:3" s="181" customFormat="1" hidden="1" x14ac:dyDescent="0.2">
      <c r="C1055" s="180"/>
    </row>
    <row r="1056" spans="3:3" s="181" customFormat="1" hidden="1" x14ac:dyDescent="0.2">
      <c r="C1056" s="180"/>
    </row>
    <row r="1057" spans="3:3" s="181" customFormat="1" hidden="1" x14ac:dyDescent="0.2">
      <c r="C1057" s="180"/>
    </row>
    <row r="1058" spans="3:3" s="181" customFormat="1" hidden="1" x14ac:dyDescent="0.2">
      <c r="C1058" s="180"/>
    </row>
    <row r="1059" spans="3:3" s="181" customFormat="1" hidden="1" x14ac:dyDescent="0.2">
      <c r="C1059" s="180"/>
    </row>
    <row r="1060" spans="3:3" s="181" customFormat="1" hidden="1" x14ac:dyDescent="0.2">
      <c r="C1060" s="180"/>
    </row>
    <row r="1061" spans="3:3" s="181" customFormat="1" hidden="1" x14ac:dyDescent="0.2">
      <c r="C1061" s="180"/>
    </row>
    <row r="1062" spans="3:3" s="181" customFormat="1" hidden="1" x14ac:dyDescent="0.2">
      <c r="C1062" s="180"/>
    </row>
    <row r="1063" spans="3:3" s="181" customFormat="1" hidden="1" x14ac:dyDescent="0.2">
      <c r="C1063" s="180"/>
    </row>
    <row r="1064" spans="3:3" s="181" customFormat="1" hidden="1" x14ac:dyDescent="0.2">
      <c r="C1064" s="180"/>
    </row>
    <row r="1065" spans="3:3" s="181" customFormat="1" hidden="1" x14ac:dyDescent="0.2">
      <c r="C1065" s="180"/>
    </row>
    <row r="1066" spans="3:3" s="181" customFormat="1" hidden="1" x14ac:dyDescent="0.2">
      <c r="C1066" s="180"/>
    </row>
    <row r="1067" spans="3:3" s="181" customFormat="1" hidden="1" x14ac:dyDescent="0.2">
      <c r="C1067" s="180"/>
    </row>
    <row r="1068" spans="3:3" s="181" customFormat="1" hidden="1" x14ac:dyDescent="0.2">
      <c r="C1068" s="180"/>
    </row>
    <row r="1069" spans="3:3" s="181" customFormat="1" hidden="1" x14ac:dyDescent="0.2">
      <c r="C1069" s="180"/>
    </row>
    <row r="1070" spans="3:3" s="181" customFormat="1" hidden="1" x14ac:dyDescent="0.2">
      <c r="C1070" s="180"/>
    </row>
    <row r="1071" spans="3:3" s="181" customFormat="1" hidden="1" x14ac:dyDescent="0.2">
      <c r="C1071" s="180"/>
    </row>
    <row r="1072" spans="3:3" s="181" customFormat="1" hidden="1" x14ac:dyDescent="0.2">
      <c r="C1072" s="180"/>
    </row>
    <row r="1073" spans="3:3" s="181" customFormat="1" hidden="1" x14ac:dyDescent="0.2">
      <c r="C1073" s="180"/>
    </row>
    <row r="1074" spans="3:3" s="181" customFormat="1" hidden="1" x14ac:dyDescent="0.2">
      <c r="C1074" s="180"/>
    </row>
    <row r="1075" spans="3:3" s="181" customFormat="1" hidden="1" x14ac:dyDescent="0.2">
      <c r="C1075" s="180"/>
    </row>
    <row r="1076" spans="3:3" s="181" customFormat="1" hidden="1" x14ac:dyDescent="0.2">
      <c r="C1076" s="180"/>
    </row>
    <row r="1077" spans="3:3" s="181" customFormat="1" hidden="1" x14ac:dyDescent="0.2">
      <c r="C1077" s="180"/>
    </row>
    <row r="1078" spans="3:3" s="181" customFormat="1" hidden="1" x14ac:dyDescent="0.2">
      <c r="C1078" s="180"/>
    </row>
    <row r="1079" spans="3:3" s="181" customFormat="1" hidden="1" x14ac:dyDescent="0.2">
      <c r="C1079" s="180"/>
    </row>
    <row r="1080" spans="3:3" s="181" customFormat="1" hidden="1" x14ac:dyDescent="0.2">
      <c r="C1080" s="180"/>
    </row>
    <row r="1081" spans="3:3" s="181" customFormat="1" hidden="1" x14ac:dyDescent="0.2">
      <c r="C1081" s="180"/>
    </row>
    <row r="1082" spans="3:3" s="181" customFormat="1" hidden="1" x14ac:dyDescent="0.2">
      <c r="C1082" s="180"/>
    </row>
    <row r="1083" spans="3:3" s="181" customFormat="1" hidden="1" x14ac:dyDescent="0.2">
      <c r="C1083" s="180"/>
    </row>
    <row r="1084" spans="3:3" s="181" customFormat="1" hidden="1" x14ac:dyDescent="0.2">
      <c r="C1084" s="180"/>
    </row>
    <row r="1085" spans="3:3" s="181" customFormat="1" hidden="1" x14ac:dyDescent="0.2">
      <c r="C1085" s="180"/>
    </row>
    <row r="1086" spans="3:3" s="181" customFormat="1" hidden="1" x14ac:dyDescent="0.2">
      <c r="C1086" s="180"/>
    </row>
    <row r="1087" spans="3:3" s="181" customFormat="1" hidden="1" x14ac:dyDescent="0.2">
      <c r="C1087" s="180"/>
    </row>
    <row r="1088" spans="3:3" s="181" customFormat="1" hidden="1" x14ac:dyDescent="0.2">
      <c r="C1088" s="180"/>
    </row>
    <row r="1089" spans="3:3" s="181" customFormat="1" hidden="1" x14ac:dyDescent="0.2">
      <c r="C1089" s="180"/>
    </row>
    <row r="1090" spans="3:3" s="181" customFormat="1" hidden="1" x14ac:dyDescent="0.2">
      <c r="C1090" s="180"/>
    </row>
    <row r="1091" spans="3:3" s="181" customFormat="1" hidden="1" x14ac:dyDescent="0.2">
      <c r="C1091" s="180"/>
    </row>
    <row r="1092" spans="3:3" s="181" customFormat="1" hidden="1" x14ac:dyDescent="0.2">
      <c r="C1092" s="180"/>
    </row>
    <row r="1093" spans="3:3" s="181" customFormat="1" hidden="1" x14ac:dyDescent="0.2">
      <c r="C1093" s="180"/>
    </row>
    <row r="1094" spans="3:3" s="181" customFormat="1" hidden="1" x14ac:dyDescent="0.2">
      <c r="C1094" s="180"/>
    </row>
    <row r="1095" spans="3:3" s="181" customFormat="1" hidden="1" x14ac:dyDescent="0.2">
      <c r="C1095" s="180"/>
    </row>
    <row r="1096" spans="3:3" s="181" customFormat="1" hidden="1" x14ac:dyDescent="0.2">
      <c r="C1096" s="180"/>
    </row>
    <row r="1097" spans="3:3" s="181" customFormat="1" hidden="1" x14ac:dyDescent="0.2">
      <c r="C1097" s="180"/>
    </row>
    <row r="1098" spans="3:3" s="181" customFormat="1" hidden="1" x14ac:dyDescent="0.2">
      <c r="C1098" s="180"/>
    </row>
    <row r="1099" spans="3:3" s="181" customFormat="1" hidden="1" x14ac:dyDescent="0.2">
      <c r="C1099" s="180"/>
    </row>
    <row r="1100" spans="3:3" s="181" customFormat="1" hidden="1" x14ac:dyDescent="0.2">
      <c r="C1100" s="180"/>
    </row>
    <row r="1101" spans="3:3" s="181" customFormat="1" hidden="1" x14ac:dyDescent="0.2">
      <c r="C1101" s="180"/>
    </row>
    <row r="1102" spans="3:3" s="181" customFormat="1" hidden="1" x14ac:dyDescent="0.2">
      <c r="C1102" s="180"/>
    </row>
    <row r="1103" spans="3:3" s="181" customFormat="1" hidden="1" x14ac:dyDescent="0.2">
      <c r="C1103" s="180"/>
    </row>
    <row r="1104" spans="3:3" s="181" customFormat="1" hidden="1" x14ac:dyDescent="0.2">
      <c r="C1104" s="180"/>
    </row>
    <row r="1105" spans="3:3" s="181" customFormat="1" hidden="1" x14ac:dyDescent="0.2">
      <c r="C1105" s="180"/>
    </row>
    <row r="1106" spans="3:3" s="181" customFormat="1" hidden="1" x14ac:dyDescent="0.2">
      <c r="C1106" s="180"/>
    </row>
    <row r="1107" spans="3:3" s="181" customFormat="1" hidden="1" x14ac:dyDescent="0.2">
      <c r="C1107" s="180"/>
    </row>
    <row r="1108" spans="3:3" s="181" customFormat="1" hidden="1" x14ac:dyDescent="0.2">
      <c r="C1108" s="180"/>
    </row>
    <row r="1109" spans="3:3" s="181" customFormat="1" hidden="1" x14ac:dyDescent="0.2">
      <c r="C1109" s="180"/>
    </row>
    <row r="1110" spans="3:3" s="181" customFormat="1" hidden="1" x14ac:dyDescent="0.2">
      <c r="C1110" s="180"/>
    </row>
    <row r="1111" spans="3:3" s="181" customFormat="1" hidden="1" x14ac:dyDescent="0.2">
      <c r="C1111" s="180"/>
    </row>
    <row r="1112" spans="3:3" s="181" customFormat="1" hidden="1" x14ac:dyDescent="0.2">
      <c r="C1112" s="180"/>
    </row>
    <row r="1113" spans="3:3" s="181" customFormat="1" hidden="1" x14ac:dyDescent="0.2">
      <c r="C1113" s="180"/>
    </row>
    <row r="1114" spans="3:3" s="181" customFormat="1" hidden="1" x14ac:dyDescent="0.2">
      <c r="C1114" s="180"/>
    </row>
    <row r="1115" spans="3:3" s="181" customFormat="1" hidden="1" x14ac:dyDescent="0.2">
      <c r="C1115" s="180"/>
    </row>
    <row r="1116" spans="3:3" s="181" customFormat="1" hidden="1" x14ac:dyDescent="0.2">
      <c r="C1116" s="180"/>
    </row>
    <row r="1117" spans="3:3" s="181" customFormat="1" hidden="1" x14ac:dyDescent="0.2">
      <c r="C1117" s="180"/>
    </row>
    <row r="1118" spans="3:3" s="181" customFormat="1" hidden="1" x14ac:dyDescent="0.2">
      <c r="C1118" s="180"/>
    </row>
    <row r="1119" spans="3:3" s="181" customFormat="1" hidden="1" x14ac:dyDescent="0.2">
      <c r="C1119" s="180"/>
    </row>
    <row r="1120" spans="3:3" s="181" customFormat="1" hidden="1" x14ac:dyDescent="0.2">
      <c r="C1120" s="180"/>
    </row>
    <row r="1121" spans="3:3" s="181" customFormat="1" hidden="1" x14ac:dyDescent="0.2">
      <c r="C1121" s="180"/>
    </row>
    <row r="1122" spans="3:3" s="181" customFormat="1" hidden="1" x14ac:dyDescent="0.2">
      <c r="C1122" s="180"/>
    </row>
    <row r="1123" spans="3:3" s="181" customFormat="1" hidden="1" x14ac:dyDescent="0.2">
      <c r="C1123" s="180"/>
    </row>
    <row r="1124" spans="3:3" s="181" customFormat="1" hidden="1" x14ac:dyDescent="0.2">
      <c r="C1124" s="180"/>
    </row>
    <row r="1125" spans="3:3" s="181" customFormat="1" hidden="1" x14ac:dyDescent="0.2">
      <c r="C1125" s="180"/>
    </row>
    <row r="1126" spans="3:3" s="181" customFormat="1" hidden="1" x14ac:dyDescent="0.2">
      <c r="C1126" s="180"/>
    </row>
    <row r="1127" spans="3:3" s="181" customFormat="1" hidden="1" x14ac:dyDescent="0.2">
      <c r="C1127" s="180"/>
    </row>
    <row r="1128" spans="3:3" s="181" customFormat="1" hidden="1" x14ac:dyDescent="0.2">
      <c r="C1128" s="180"/>
    </row>
    <row r="1129" spans="3:3" s="181" customFormat="1" hidden="1" x14ac:dyDescent="0.2">
      <c r="C1129" s="180"/>
    </row>
    <row r="1130" spans="3:3" s="181" customFormat="1" hidden="1" x14ac:dyDescent="0.2">
      <c r="C1130" s="180"/>
    </row>
    <row r="1131" spans="3:3" s="181" customFormat="1" hidden="1" x14ac:dyDescent="0.2">
      <c r="C1131" s="180"/>
    </row>
    <row r="1132" spans="3:3" s="181" customFormat="1" hidden="1" x14ac:dyDescent="0.2">
      <c r="C1132" s="180"/>
    </row>
    <row r="1133" spans="3:3" s="181" customFormat="1" hidden="1" x14ac:dyDescent="0.2">
      <c r="C1133" s="180"/>
    </row>
    <row r="1134" spans="3:3" s="181" customFormat="1" hidden="1" x14ac:dyDescent="0.2">
      <c r="C1134" s="180"/>
    </row>
    <row r="1135" spans="3:3" s="181" customFormat="1" hidden="1" x14ac:dyDescent="0.2">
      <c r="C1135" s="180"/>
    </row>
    <row r="1136" spans="3:3" s="181" customFormat="1" hidden="1" x14ac:dyDescent="0.2">
      <c r="C1136" s="180"/>
    </row>
    <row r="1137" spans="3:3" s="181" customFormat="1" hidden="1" x14ac:dyDescent="0.2">
      <c r="C1137" s="180"/>
    </row>
    <row r="1138" spans="3:3" s="181" customFormat="1" hidden="1" x14ac:dyDescent="0.2">
      <c r="C1138" s="180"/>
    </row>
    <row r="1139" spans="3:3" s="181" customFormat="1" hidden="1" x14ac:dyDescent="0.2">
      <c r="C1139" s="180"/>
    </row>
    <row r="1140" spans="3:3" s="181" customFormat="1" hidden="1" x14ac:dyDescent="0.2">
      <c r="C1140" s="180"/>
    </row>
    <row r="1141" spans="3:3" s="181" customFormat="1" hidden="1" x14ac:dyDescent="0.2">
      <c r="C1141" s="180"/>
    </row>
    <row r="1142" spans="3:3" s="181" customFormat="1" hidden="1" x14ac:dyDescent="0.2">
      <c r="C1142" s="180"/>
    </row>
    <row r="1143" spans="3:3" s="181" customFormat="1" hidden="1" x14ac:dyDescent="0.2">
      <c r="C1143" s="180"/>
    </row>
    <row r="1144" spans="3:3" s="181" customFormat="1" hidden="1" x14ac:dyDescent="0.2">
      <c r="C1144" s="180"/>
    </row>
    <row r="1145" spans="3:3" s="181" customFormat="1" hidden="1" x14ac:dyDescent="0.2">
      <c r="C1145" s="180"/>
    </row>
    <row r="1146" spans="3:3" s="181" customFormat="1" hidden="1" x14ac:dyDescent="0.2">
      <c r="C1146" s="180"/>
    </row>
    <row r="1147" spans="3:3" s="181" customFormat="1" hidden="1" x14ac:dyDescent="0.2">
      <c r="C1147" s="180"/>
    </row>
    <row r="1148" spans="3:3" s="181" customFormat="1" hidden="1" x14ac:dyDescent="0.2">
      <c r="C1148" s="180"/>
    </row>
    <row r="1149" spans="3:3" s="181" customFormat="1" hidden="1" x14ac:dyDescent="0.2">
      <c r="C1149" s="180"/>
    </row>
    <row r="1150" spans="3:3" s="181" customFormat="1" hidden="1" x14ac:dyDescent="0.2">
      <c r="C1150" s="180"/>
    </row>
    <row r="1151" spans="3:3" s="181" customFormat="1" hidden="1" x14ac:dyDescent="0.2">
      <c r="C1151" s="180"/>
    </row>
    <row r="1152" spans="3:3" s="181" customFormat="1" hidden="1" x14ac:dyDescent="0.2">
      <c r="C1152" s="180"/>
    </row>
    <row r="1153" spans="3:3" s="181" customFormat="1" hidden="1" x14ac:dyDescent="0.2">
      <c r="C1153" s="180"/>
    </row>
    <row r="1154" spans="3:3" s="181" customFormat="1" hidden="1" x14ac:dyDescent="0.2">
      <c r="C1154" s="180"/>
    </row>
    <row r="1155" spans="3:3" s="181" customFormat="1" hidden="1" x14ac:dyDescent="0.2">
      <c r="C1155" s="180"/>
    </row>
    <row r="1156" spans="3:3" s="181" customFormat="1" hidden="1" x14ac:dyDescent="0.2">
      <c r="C1156" s="180"/>
    </row>
    <row r="1157" spans="3:3" s="181" customFormat="1" hidden="1" x14ac:dyDescent="0.2">
      <c r="C1157" s="180"/>
    </row>
    <row r="1158" spans="3:3" s="181" customFormat="1" hidden="1" x14ac:dyDescent="0.2">
      <c r="C1158" s="180"/>
    </row>
    <row r="1159" spans="3:3" s="181" customFormat="1" hidden="1" x14ac:dyDescent="0.2">
      <c r="C1159" s="180"/>
    </row>
    <row r="1160" spans="3:3" s="181" customFormat="1" hidden="1" x14ac:dyDescent="0.2">
      <c r="C1160" s="180"/>
    </row>
    <row r="1161" spans="3:3" s="181" customFormat="1" hidden="1" x14ac:dyDescent="0.2">
      <c r="C1161" s="180"/>
    </row>
    <row r="1162" spans="3:3" s="181" customFormat="1" hidden="1" x14ac:dyDescent="0.2">
      <c r="C1162" s="180"/>
    </row>
    <row r="1163" spans="3:3" s="181" customFormat="1" hidden="1" x14ac:dyDescent="0.2">
      <c r="C1163" s="180"/>
    </row>
    <row r="1164" spans="3:3" s="181" customFormat="1" hidden="1" x14ac:dyDescent="0.2">
      <c r="C1164" s="180"/>
    </row>
    <row r="1165" spans="3:3" s="181" customFormat="1" hidden="1" x14ac:dyDescent="0.2">
      <c r="C1165" s="180"/>
    </row>
    <row r="1166" spans="3:3" s="181" customFormat="1" hidden="1" x14ac:dyDescent="0.2">
      <c r="C1166" s="180"/>
    </row>
    <row r="1167" spans="3:3" s="181" customFormat="1" hidden="1" x14ac:dyDescent="0.2">
      <c r="C1167" s="180"/>
    </row>
    <row r="1168" spans="3:3" s="181" customFormat="1" hidden="1" x14ac:dyDescent="0.2">
      <c r="C1168" s="180"/>
    </row>
    <row r="1169" spans="3:3" s="181" customFormat="1" hidden="1" x14ac:dyDescent="0.2">
      <c r="C1169" s="180"/>
    </row>
    <row r="1170" spans="3:3" s="181" customFormat="1" hidden="1" x14ac:dyDescent="0.2">
      <c r="C1170" s="180"/>
    </row>
    <row r="1171" spans="3:3" s="181" customFormat="1" hidden="1" x14ac:dyDescent="0.2">
      <c r="C1171" s="180"/>
    </row>
    <row r="1172" spans="3:3" s="181" customFormat="1" hidden="1" x14ac:dyDescent="0.2">
      <c r="C1172" s="180"/>
    </row>
    <row r="1173" spans="3:3" s="181" customFormat="1" hidden="1" x14ac:dyDescent="0.2">
      <c r="C1173" s="180"/>
    </row>
    <row r="1174" spans="3:3" s="181" customFormat="1" hidden="1" x14ac:dyDescent="0.2">
      <c r="C1174" s="180"/>
    </row>
    <row r="1175" spans="3:3" s="181" customFormat="1" hidden="1" x14ac:dyDescent="0.2">
      <c r="C1175" s="180"/>
    </row>
    <row r="1176" spans="3:3" s="181" customFormat="1" hidden="1" x14ac:dyDescent="0.2">
      <c r="C1176" s="180"/>
    </row>
    <row r="1177" spans="3:3" s="181" customFormat="1" hidden="1" x14ac:dyDescent="0.2">
      <c r="C1177" s="180"/>
    </row>
    <row r="1178" spans="3:3" s="181" customFormat="1" hidden="1" x14ac:dyDescent="0.2">
      <c r="C1178" s="180"/>
    </row>
    <row r="1179" spans="3:3" s="181" customFormat="1" hidden="1" x14ac:dyDescent="0.2">
      <c r="C1179" s="180"/>
    </row>
    <row r="1180" spans="3:3" s="181" customFormat="1" hidden="1" x14ac:dyDescent="0.2">
      <c r="C1180" s="180"/>
    </row>
    <row r="1181" spans="3:3" s="181" customFormat="1" hidden="1" x14ac:dyDescent="0.2">
      <c r="C1181" s="180"/>
    </row>
    <row r="1182" spans="3:3" s="181" customFormat="1" hidden="1" x14ac:dyDescent="0.2">
      <c r="C1182" s="180"/>
    </row>
    <row r="1183" spans="3:3" s="181" customFormat="1" hidden="1" x14ac:dyDescent="0.2">
      <c r="C1183" s="180"/>
    </row>
    <row r="1184" spans="3:3" s="181" customFormat="1" hidden="1" x14ac:dyDescent="0.2">
      <c r="C1184" s="180"/>
    </row>
    <row r="1185" spans="3:3" s="181" customFormat="1" hidden="1" x14ac:dyDescent="0.2">
      <c r="C1185" s="180"/>
    </row>
    <row r="1186" spans="3:3" s="181" customFormat="1" hidden="1" x14ac:dyDescent="0.2">
      <c r="C1186" s="180"/>
    </row>
    <row r="1187" spans="3:3" s="181" customFormat="1" hidden="1" x14ac:dyDescent="0.2">
      <c r="C1187" s="180"/>
    </row>
    <row r="1188" spans="3:3" s="181" customFormat="1" hidden="1" x14ac:dyDescent="0.2">
      <c r="C1188" s="180"/>
    </row>
    <row r="1189" spans="3:3" s="181" customFormat="1" hidden="1" x14ac:dyDescent="0.2">
      <c r="C1189" s="180"/>
    </row>
    <row r="1190" spans="3:3" s="181" customFormat="1" hidden="1" x14ac:dyDescent="0.2">
      <c r="C1190" s="180"/>
    </row>
    <row r="1191" spans="3:3" s="181" customFormat="1" hidden="1" x14ac:dyDescent="0.2">
      <c r="C1191" s="180"/>
    </row>
    <row r="1192" spans="3:3" s="181" customFormat="1" hidden="1" x14ac:dyDescent="0.2">
      <c r="C1192" s="180"/>
    </row>
    <row r="1193" spans="3:3" s="181" customFormat="1" hidden="1" x14ac:dyDescent="0.2">
      <c r="C1193" s="180"/>
    </row>
    <row r="1194" spans="3:3" s="181" customFormat="1" hidden="1" x14ac:dyDescent="0.2">
      <c r="C1194" s="180"/>
    </row>
    <row r="1195" spans="3:3" s="181" customFormat="1" hidden="1" x14ac:dyDescent="0.2">
      <c r="C1195" s="180"/>
    </row>
    <row r="1196" spans="3:3" s="181" customFormat="1" hidden="1" x14ac:dyDescent="0.2">
      <c r="C1196" s="180"/>
    </row>
    <row r="1197" spans="3:3" s="181" customFormat="1" hidden="1" x14ac:dyDescent="0.2">
      <c r="C1197" s="180"/>
    </row>
    <row r="1198" spans="3:3" s="181" customFormat="1" hidden="1" x14ac:dyDescent="0.2">
      <c r="C1198" s="180"/>
    </row>
    <row r="1199" spans="3:3" s="181" customFormat="1" hidden="1" x14ac:dyDescent="0.2">
      <c r="C1199" s="180"/>
    </row>
    <row r="1200" spans="3:3" s="181" customFormat="1" hidden="1" x14ac:dyDescent="0.2">
      <c r="C1200" s="180"/>
    </row>
    <row r="1201" spans="3:3" s="181" customFormat="1" hidden="1" x14ac:dyDescent="0.2">
      <c r="C1201" s="180"/>
    </row>
    <row r="1202" spans="3:3" s="181" customFormat="1" hidden="1" x14ac:dyDescent="0.2">
      <c r="C1202" s="180"/>
    </row>
    <row r="1203" spans="3:3" s="181" customFormat="1" hidden="1" x14ac:dyDescent="0.2">
      <c r="C1203" s="180"/>
    </row>
    <row r="1204" spans="3:3" s="181" customFormat="1" hidden="1" x14ac:dyDescent="0.2">
      <c r="C1204" s="180"/>
    </row>
    <row r="1205" spans="3:3" s="181" customFormat="1" hidden="1" x14ac:dyDescent="0.2">
      <c r="C1205" s="180"/>
    </row>
    <row r="1206" spans="3:3" s="181" customFormat="1" hidden="1" x14ac:dyDescent="0.2">
      <c r="C1206" s="180"/>
    </row>
    <row r="1207" spans="3:3" s="181" customFormat="1" hidden="1" x14ac:dyDescent="0.2">
      <c r="C1207" s="180"/>
    </row>
    <row r="1208" spans="3:3" s="181" customFormat="1" hidden="1" x14ac:dyDescent="0.2">
      <c r="C1208" s="180"/>
    </row>
    <row r="1209" spans="3:3" s="181" customFormat="1" hidden="1" x14ac:dyDescent="0.2">
      <c r="C1209" s="180"/>
    </row>
    <row r="1210" spans="3:3" s="181" customFormat="1" hidden="1" x14ac:dyDescent="0.2">
      <c r="C1210" s="180"/>
    </row>
    <row r="1211" spans="3:3" s="181" customFormat="1" hidden="1" x14ac:dyDescent="0.2">
      <c r="C1211" s="180"/>
    </row>
    <row r="1212" spans="3:3" s="181" customFormat="1" hidden="1" x14ac:dyDescent="0.2">
      <c r="C1212" s="180"/>
    </row>
    <row r="1213" spans="3:3" s="181" customFormat="1" hidden="1" x14ac:dyDescent="0.2">
      <c r="C1213" s="180"/>
    </row>
    <row r="1214" spans="3:3" s="181" customFormat="1" hidden="1" x14ac:dyDescent="0.2">
      <c r="C1214" s="180"/>
    </row>
    <row r="1215" spans="3:3" s="181" customFormat="1" hidden="1" x14ac:dyDescent="0.2">
      <c r="C1215" s="180"/>
    </row>
    <row r="1216" spans="3:3" s="181" customFormat="1" hidden="1" x14ac:dyDescent="0.2">
      <c r="C1216" s="180"/>
    </row>
    <row r="1217" spans="3:3" s="181" customFormat="1" hidden="1" x14ac:dyDescent="0.2">
      <c r="C1217" s="180"/>
    </row>
    <row r="1218" spans="3:3" s="181" customFormat="1" hidden="1" x14ac:dyDescent="0.2">
      <c r="C1218" s="180"/>
    </row>
    <row r="1219" spans="3:3" s="181" customFormat="1" hidden="1" x14ac:dyDescent="0.2">
      <c r="C1219" s="180"/>
    </row>
    <row r="1220" spans="3:3" s="181" customFormat="1" hidden="1" x14ac:dyDescent="0.2">
      <c r="C1220" s="180"/>
    </row>
    <row r="1221" spans="3:3" s="181" customFormat="1" hidden="1" x14ac:dyDescent="0.2">
      <c r="C1221" s="180"/>
    </row>
    <row r="1222" spans="3:3" s="181" customFormat="1" hidden="1" x14ac:dyDescent="0.2">
      <c r="C1222" s="180"/>
    </row>
    <row r="1223" spans="3:3" s="181" customFormat="1" hidden="1" x14ac:dyDescent="0.2">
      <c r="C1223" s="180"/>
    </row>
    <row r="1224" spans="3:3" s="181" customFormat="1" hidden="1" x14ac:dyDescent="0.2">
      <c r="C1224" s="180"/>
    </row>
    <row r="1225" spans="3:3" s="181" customFormat="1" hidden="1" x14ac:dyDescent="0.2">
      <c r="C1225" s="180"/>
    </row>
    <row r="1226" spans="3:3" s="181" customFormat="1" hidden="1" x14ac:dyDescent="0.2">
      <c r="C1226" s="180"/>
    </row>
    <row r="1227" spans="3:3" s="181" customFormat="1" hidden="1" x14ac:dyDescent="0.2">
      <c r="C1227" s="180"/>
    </row>
    <row r="1228" spans="3:3" s="181" customFormat="1" hidden="1" x14ac:dyDescent="0.2">
      <c r="C1228" s="180"/>
    </row>
    <row r="1229" spans="3:3" s="181" customFormat="1" hidden="1" x14ac:dyDescent="0.2">
      <c r="C1229" s="180"/>
    </row>
    <row r="1230" spans="3:3" s="181" customFormat="1" hidden="1" x14ac:dyDescent="0.2">
      <c r="C1230" s="180"/>
    </row>
    <row r="1231" spans="3:3" s="181" customFormat="1" hidden="1" x14ac:dyDescent="0.2">
      <c r="C1231" s="180"/>
    </row>
    <row r="1232" spans="3:3" s="181" customFormat="1" hidden="1" x14ac:dyDescent="0.2">
      <c r="C1232" s="180"/>
    </row>
    <row r="1233" spans="3:3" s="181" customFormat="1" hidden="1" x14ac:dyDescent="0.2">
      <c r="C1233" s="180"/>
    </row>
    <row r="1234" spans="3:3" s="181" customFormat="1" hidden="1" x14ac:dyDescent="0.2">
      <c r="C1234" s="180"/>
    </row>
    <row r="1235" spans="3:3" s="181" customFormat="1" hidden="1" x14ac:dyDescent="0.2">
      <c r="C1235" s="180"/>
    </row>
    <row r="1236" spans="3:3" s="181" customFormat="1" hidden="1" x14ac:dyDescent="0.2">
      <c r="C1236" s="180"/>
    </row>
    <row r="1237" spans="3:3" s="181" customFormat="1" hidden="1" x14ac:dyDescent="0.2">
      <c r="C1237" s="180"/>
    </row>
    <row r="1238" spans="3:3" s="181" customFormat="1" hidden="1" x14ac:dyDescent="0.2">
      <c r="C1238" s="180"/>
    </row>
    <row r="1239" spans="3:3" s="181" customFormat="1" hidden="1" x14ac:dyDescent="0.2">
      <c r="C1239" s="180"/>
    </row>
    <row r="1240" spans="3:3" s="181" customFormat="1" hidden="1" x14ac:dyDescent="0.2">
      <c r="C1240" s="180"/>
    </row>
    <row r="1241" spans="3:3" s="181" customFormat="1" hidden="1" x14ac:dyDescent="0.2">
      <c r="C1241" s="180"/>
    </row>
    <row r="1242" spans="3:3" s="181" customFormat="1" hidden="1" x14ac:dyDescent="0.2">
      <c r="C1242" s="180"/>
    </row>
    <row r="1243" spans="3:3" s="181" customFormat="1" hidden="1" x14ac:dyDescent="0.2">
      <c r="C1243" s="180"/>
    </row>
    <row r="1244" spans="3:3" s="181" customFormat="1" hidden="1" x14ac:dyDescent="0.2">
      <c r="C1244" s="180"/>
    </row>
    <row r="1245" spans="3:3" s="181" customFormat="1" hidden="1" x14ac:dyDescent="0.2">
      <c r="C1245" s="180"/>
    </row>
    <row r="1246" spans="3:3" s="181" customFormat="1" hidden="1" x14ac:dyDescent="0.2">
      <c r="C1246" s="180"/>
    </row>
    <row r="1247" spans="3:3" s="181" customFormat="1" hidden="1" x14ac:dyDescent="0.2">
      <c r="C1247" s="180"/>
    </row>
    <row r="1248" spans="3:3" s="181" customFormat="1" hidden="1" x14ac:dyDescent="0.2">
      <c r="C1248" s="180"/>
    </row>
    <row r="1249" spans="3:3" s="181" customFormat="1" hidden="1" x14ac:dyDescent="0.2">
      <c r="C1249" s="180"/>
    </row>
    <row r="1250" spans="3:3" s="181" customFormat="1" hidden="1" x14ac:dyDescent="0.2">
      <c r="C1250" s="180"/>
    </row>
    <row r="1251" spans="3:3" s="181" customFormat="1" hidden="1" x14ac:dyDescent="0.2">
      <c r="C1251" s="180"/>
    </row>
    <row r="1252" spans="3:3" s="181" customFormat="1" hidden="1" x14ac:dyDescent="0.2">
      <c r="C1252" s="180"/>
    </row>
    <row r="1253" spans="3:3" s="181" customFormat="1" hidden="1" x14ac:dyDescent="0.2">
      <c r="C1253" s="180"/>
    </row>
    <row r="1254" spans="3:3" s="181" customFormat="1" hidden="1" x14ac:dyDescent="0.2">
      <c r="C1254" s="180"/>
    </row>
    <row r="1255" spans="3:3" s="181" customFormat="1" hidden="1" x14ac:dyDescent="0.2">
      <c r="C1255" s="180"/>
    </row>
    <row r="1256" spans="3:3" s="181" customFormat="1" hidden="1" x14ac:dyDescent="0.2">
      <c r="C1256" s="180"/>
    </row>
    <row r="1257" spans="3:3" s="181" customFormat="1" hidden="1" x14ac:dyDescent="0.2">
      <c r="C1257" s="180"/>
    </row>
    <row r="1258" spans="3:3" s="181" customFormat="1" hidden="1" x14ac:dyDescent="0.2">
      <c r="C1258" s="180"/>
    </row>
    <row r="1259" spans="3:3" s="181" customFormat="1" hidden="1" x14ac:dyDescent="0.2">
      <c r="C1259" s="180"/>
    </row>
    <row r="1260" spans="3:3" s="181" customFormat="1" hidden="1" x14ac:dyDescent="0.2">
      <c r="C1260" s="180"/>
    </row>
    <row r="1261" spans="3:3" s="181" customFormat="1" hidden="1" x14ac:dyDescent="0.2">
      <c r="C1261" s="180"/>
    </row>
    <row r="1262" spans="3:3" s="181" customFormat="1" hidden="1" x14ac:dyDescent="0.2">
      <c r="C1262" s="180"/>
    </row>
    <row r="1263" spans="3:3" s="181" customFormat="1" hidden="1" x14ac:dyDescent="0.2">
      <c r="C1263" s="180"/>
    </row>
    <row r="1264" spans="3:3" s="181" customFormat="1" hidden="1" x14ac:dyDescent="0.2">
      <c r="C1264" s="180"/>
    </row>
    <row r="1265" spans="3:3" s="181" customFormat="1" hidden="1" x14ac:dyDescent="0.2">
      <c r="C1265" s="180"/>
    </row>
    <row r="1266" spans="3:3" s="181" customFormat="1" hidden="1" x14ac:dyDescent="0.2">
      <c r="C1266" s="180"/>
    </row>
    <row r="1267" spans="3:3" s="181" customFormat="1" hidden="1" x14ac:dyDescent="0.2">
      <c r="C1267" s="180"/>
    </row>
    <row r="1268" spans="3:3" s="181" customFormat="1" hidden="1" x14ac:dyDescent="0.2">
      <c r="C1268" s="180"/>
    </row>
    <row r="1269" spans="3:3" s="181" customFormat="1" hidden="1" x14ac:dyDescent="0.2">
      <c r="C1269" s="180"/>
    </row>
    <row r="1270" spans="3:3" s="181" customFormat="1" hidden="1" x14ac:dyDescent="0.2">
      <c r="C1270" s="180"/>
    </row>
    <row r="1271" spans="3:3" s="181" customFormat="1" hidden="1" x14ac:dyDescent="0.2">
      <c r="C1271" s="180"/>
    </row>
    <row r="1272" spans="3:3" s="181" customFormat="1" hidden="1" x14ac:dyDescent="0.2">
      <c r="C1272" s="180"/>
    </row>
    <row r="1273" spans="3:3" s="181" customFormat="1" hidden="1" x14ac:dyDescent="0.2">
      <c r="C1273" s="180"/>
    </row>
    <row r="1274" spans="3:3" s="181" customFormat="1" hidden="1" x14ac:dyDescent="0.2">
      <c r="C1274" s="180"/>
    </row>
    <row r="1275" spans="3:3" s="181" customFormat="1" hidden="1" x14ac:dyDescent="0.2">
      <c r="C1275" s="180"/>
    </row>
    <row r="1276" spans="3:3" s="181" customFormat="1" hidden="1" x14ac:dyDescent="0.2">
      <c r="C1276" s="180"/>
    </row>
    <row r="1277" spans="3:3" s="181" customFormat="1" hidden="1" x14ac:dyDescent="0.2">
      <c r="C1277" s="180"/>
    </row>
    <row r="1278" spans="3:3" s="181" customFormat="1" hidden="1" x14ac:dyDescent="0.2">
      <c r="C1278" s="180"/>
    </row>
    <row r="1279" spans="3:3" s="181" customFormat="1" hidden="1" x14ac:dyDescent="0.2">
      <c r="C1279" s="180"/>
    </row>
    <row r="1280" spans="3:3" s="181" customFormat="1" hidden="1" x14ac:dyDescent="0.2">
      <c r="C1280" s="180"/>
    </row>
    <row r="1281" spans="3:3" s="181" customFormat="1" hidden="1" x14ac:dyDescent="0.2">
      <c r="C1281" s="180"/>
    </row>
    <row r="1282" spans="3:3" s="181" customFormat="1" hidden="1" x14ac:dyDescent="0.2">
      <c r="C1282" s="180"/>
    </row>
    <row r="1283" spans="3:3" s="181" customFormat="1" hidden="1" x14ac:dyDescent="0.2">
      <c r="C1283" s="180"/>
    </row>
    <row r="1284" spans="3:3" s="181" customFormat="1" hidden="1" x14ac:dyDescent="0.2">
      <c r="C1284" s="180"/>
    </row>
    <row r="1285" spans="3:3" s="181" customFormat="1" hidden="1" x14ac:dyDescent="0.2">
      <c r="C1285" s="180"/>
    </row>
    <row r="1286" spans="3:3" s="181" customFormat="1" hidden="1" x14ac:dyDescent="0.2">
      <c r="C1286" s="180"/>
    </row>
    <row r="1287" spans="3:3" s="181" customFormat="1" hidden="1" x14ac:dyDescent="0.2">
      <c r="C1287" s="180"/>
    </row>
    <row r="1288" spans="3:3" s="181" customFormat="1" hidden="1" x14ac:dyDescent="0.2">
      <c r="C1288" s="180"/>
    </row>
    <row r="1289" spans="3:3" s="181" customFormat="1" hidden="1" x14ac:dyDescent="0.2">
      <c r="C1289" s="180"/>
    </row>
    <row r="1290" spans="3:3" s="181" customFormat="1" hidden="1" x14ac:dyDescent="0.2">
      <c r="C1290" s="180"/>
    </row>
    <row r="1291" spans="3:3" s="181" customFormat="1" hidden="1" x14ac:dyDescent="0.2">
      <c r="C1291" s="180"/>
    </row>
    <row r="1292" spans="3:3" s="181" customFormat="1" hidden="1" x14ac:dyDescent="0.2">
      <c r="C1292" s="180"/>
    </row>
    <row r="1293" spans="3:3" s="181" customFormat="1" hidden="1" x14ac:dyDescent="0.2">
      <c r="C1293" s="180"/>
    </row>
    <row r="1294" spans="3:3" s="181" customFormat="1" hidden="1" x14ac:dyDescent="0.2">
      <c r="C1294" s="180"/>
    </row>
    <row r="1295" spans="3:3" s="181" customFormat="1" hidden="1" x14ac:dyDescent="0.2">
      <c r="C1295" s="180"/>
    </row>
    <row r="1296" spans="3:3" s="181" customFormat="1" hidden="1" x14ac:dyDescent="0.2">
      <c r="C1296" s="180"/>
    </row>
    <row r="1297" spans="3:3" s="181" customFormat="1" hidden="1" x14ac:dyDescent="0.2">
      <c r="C1297" s="180"/>
    </row>
    <row r="1298" spans="3:3" s="181" customFormat="1" hidden="1" x14ac:dyDescent="0.2">
      <c r="C1298" s="180"/>
    </row>
    <row r="1299" spans="3:3" s="181" customFormat="1" hidden="1" x14ac:dyDescent="0.2">
      <c r="C1299" s="180"/>
    </row>
    <row r="1300" spans="3:3" s="181" customFormat="1" hidden="1" x14ac:dyDescent="0.2">
      <c r="C1300" s="180"/>
    </row>
    <row r="1301" spans="3:3" s="181" customFormat="1" hidden="1" x14ac:dyDescent="0.2">
      <c r="C1301" s="180"/>
    </row>
    <row r="1302" spans="3:3" s="181" customFormat="1" hidden="1" x14ac:dyDescent="0.2">
      <c r="C1302" s="180"/>
    </row>
    <row r="1303" spans="3:3" s="181" customFormat="1" hidden="1" x14ac:dyDescent="0.2">
      <c r="C1303" s="180"/>
    </row>
    <row r="1304" spans="3:3" s="181" customFormat="1" hidden="1" x14ac:dyDescent="0.2">
      <c r="C1304" s="180"/>
    </row>
    <row r="1305" spans="3:3" s="181" customFormat="1" hidden="1" x14ac:dyDescent="0.2">
      <c r="C1305" s="180"/>
    </row>
    <row r="1306" spans="3:3" s="181" customFormat="1" hidden="1" x14ac:dyDescent="0.2">
      <c r="C1306" s="180"/>
    </row>
    <row r="1307" spans="3:3" s="181" customFormat="1" hidden="1" x14ac:dyDescent="0.2">
      <c r="C1307" s="180"/>
    </row>
    <row r="1308" spans="3:3" s="181" customFormat="1" hidden="1" x14ac:dyDescent="0.2">
      <c r="C1308" s="180"/>
    </row>
    <row r="1309" spans="3:3" s="181" customFormat="1" hidden="1" x14ac:dyDescent="0.2">
      <c r="C1309" s="180"/>
    </row>
    <row r="1310" spans="3:3" s="181" customFormat="1" hidden="1" x14ac:dyDescent="0.2">
      <c r="C1310" s="180"/>
    </row>
    <row r="1311" spans="3:3" s="181" customFormat="1" hidden="1" x14ac:dyDescent="0.2">
      <c r="C1311" s="180"/>
    </row>
    <row r="1312" spans="3:3" s="181" customFormat="1" hidden="1" x14ac:dyDescent="0.2">
      <c r="C1312" s="180"/>
    </row>
    <row r="1313" spans="3:3" s="181" customFormat="1" hidden="1" x14ac:dyDescent="0.2">
      <c r="C1313" s="180"/>
    </row>
    <row r="1314" spans="3:3" s="181" customFormat="1" hidden="1" x14ac:dyDescent="0.2">
      <c r="C1314" s="180"/>
    </row>
    <row r="1315" spans="3:3" s="181" customFormat="1" hidden="1" x14ac:dyDescent="0.2">
      <c r="C1315" s="180"/>
    </row>
    <row r="1316" spans="3:3" s="181" customFormat="1" hidden="1" x14ac:dyDescent="0.2">
      <c r="C1316" s="180"/>
    </row>
    <row r="1317" spans="3:3" s="181" customFormat="1" hidden="1" x14ac:dyDescent="0.2">
      <c r="C1317" s="180"/>
    </row>
    <row r="1318" spans="3:3" s="181" customFormat="1" hidden="1" x14ac:dyDescent="0.2">
      <c r="C1318" s="180"/>
    </row>
    <row r="1319" spans="3:3" s="181" customFormat="1" hidden="1" x14ac:dyDescent="0.2">
      <c r="C1319" s="180"/>
    </row>
    <row r="1320" spans="3:3" s="181" customFormat="1" hidden="1" x14ac:dyDescent="0.2">
      <c r="C1320" s="180"/>
    </row>
    <row r="1321" spans="3:3" s="181" customFormat="1" hidden="1" x14ac:dyDescent="0.2">
      <c r="C1321" s="180"/>
    </row>
    <row r="1322" spans="3:3" s="181" customFormat="1" hidden="1" x14ac:dyDescent="0.2">
      <c r="C1322" s="180"/>
    </row>
    <row r="1323" spans="3:3" s="181" customFormat="1" hidden="1" x14ac:dyDescent="0.2">
      <c r="C1323" s="180"/>
    </row>
    <row r="1324" spans="3:3" s="181" customFormat="1" hidden="1" x14ac:dyDescent="0.2">
      <c r="C1324" s="180"/>
    </row>
    <row r="1325" spans="3:3" s="181" customFormat="1" hidden="1" x14ac:dyDescent="0.2">
      <c r="C1325" s="180"/>
    </row>
    <row r="1326" spans="3:3" s="181" customFormat="1" hidden="1" x14ac:dyDescent="0.2">
      <c r="C1326" s="180"/>
    </row>
    <row r="1327" spans="3:3" s="181" customFormat="1" hidden="1" x14ac:dyDescent="0.2">
      <c r="C1327" s="180"/>
    </row>
    <row r="1328" spans="3:3" s="181" customFormat="1" hidden="1" x14ac:dyDescent="0.2">
      <c r="C1328" s="180"/>
    </row>
    <row r="1329" spans="3:3" s="181" customFormat="1" hidden="1" x14ac:dyDescent="0.2">
      <c r="C1329" s="180"/>
    </row>
    <row r="1330" spans="3:3" s="181" customFormat="1" hidden="1" x14ac:dyDescent="0.2">
      <c r="C1330" s="180"/>
    </row>
    <row r="1331" spans="3:3" s="181" customFormat="1" hidden="1" x14ac:dyDescent="0.2">
      <c r="C1331" s="180"/>
    </row>
    <row r="1332" spans="3:3" s="181" customFormat="1" hidden="1" x14ac:dyDescent="0.2">
      <c r="C1332" s="180"/>
    </row>
    <row r="1333" spans="3:3" s="181" customFormat="1" hidden="1" x14ac:dyDescent="0.2">
      <c r="C1333" s="180"/>
    </row>
    <row r="1334" spans="3:3" s="181" customFormat="1" hidden="1" x14ac:dyDescent="0.2">
      <c r="C1334" s="180"/>
    </row>
    <row r="1335" spans="3:3" s="181" customFormat="1" hidden="1" x14ac:dyDescent="0.2">
      <c r="C1335" s="180"/>
    </row>
    <row r="1336" spans="3:3" s="181" customFormat="1" hidden="1" x14ac:dyDescent="0.2">
      <c r="C1336" s="180"/>
    </row>
    <row r="1337" spans="3:3" s="181" customFormat="1" hidden="1" x14ac:dyDescent="0.2">
      <c r="C1337" s="180"/>
    </row>
    <row r="1338" spans="3:3" s="181" customFormat="1" hidden="1" x14ac:dyDescent="0.2">
      <c r="C1338" s="180"/>
    </row>
    <row r="1339" spans="3:3" s="181" customFormat="1" hidden="1" x14ac:dyDescent="0.2">
      <c r="C1339" s="180"/>
    </row>
    <row r="1340" spans="3:3" s="181" customFormat="1" hidden="1" x14ac:dyDescent="0.2">
      <c r="C1340" s="180"/>
    </row>
    <row r="1341" spans="3:3" s="181" customFormat="1" hidden="1" x14ac:dyDescent="0.2">
      <c r="C1341" s="180"/>
    </row>
    <row r="1342" spans="3:3" s="181" customFormat="1" hidden="1" x14ac:dyDescent="0.2">
      <c r="C1342" s="180"/>
    </row>
    <row r="1343" spans="3:3" s="181" customFormat="1" hidden="1" x14ac:dyDescent="0.2">
      <c r="C1343" s="180"/>
    </row>
    <row r="1344" spans="3:3" s="181" customFormat="1" hidden="1" x14ac:dyDescent="0.2">
      <c r="C1344" s="180"/>
    </row>
    <row r="1345" spans="3:3" s="181" customFormat="1" hidden="1" x14ac:dyDescent="0.2">
      <c r="C1345" s="180"/>
    </row>
    <row r="1346" spans="3:3" s="181" customFormat="1" hidden="1" x14ac:dyDescent="0.2">
      <c r="C1346" s="180"/>
    </row>
    <row r="1347" spans="3:3" s="181" customFormat="1" hidden="1" x14ac:dyDescent="0.2">
      <c r="C1347" s="180"/>
    </row>
    <row r="1348" spans="3:3" s="181" customFormat="1" hidden="1" x14ac:dyDescent="0.2">
      <c r="C1348" s="180"/>
    </row>
    <row r="1349" spans="3:3" s="181" customFormat="1" hidden="1" x14ac:dyDescent="0.2">
      <c r="C1349" s="180"/>
    </row>
    <row r="1350" spans="3:3" s="181" customFormat="1" hidden="1" x14ac:dyDescent="0.2">
      <c r="C1350" s="180"/>
    </row>
    <row r="1351" spans="3:3" s="181" customFormat="1" hidden="1" x14ac:dyDescent="0.2">
      <c r="C1351" s="180"/>
    </row>
    <row r="1352" spans="3:3" s="181" customFormat="1" hidden="1" x14ac:dyDescent="0.2">
      <c r="C1352" s="180"/>
    </row>
    <row r="1353" spans="3:3" s="181" customFormat="1" hidden="1" x14ac:dyDescent="0.2">
      <c r="C1353" s="180"/>
    </row>
    <row r="1354" spans="3:3" s="181" customFormat="1" hidden="1" x14ac:dyDescent="0.2">
      <c r="C1354" s="180"/>
    </row>
    <row r="1355" spans="3:3" s="181" customFormat="1" hidden="1" x14ac:dyDescent="0.2">
      <c r="C1355" s="180"/>
    </row>
    <row r="1356" spans="3:3" s="181" customFormat="1" hidden="1" x14ac:dyDescent="0.2">
      <c r="C1356" s="180"/>
    </row>
    <row r="1357" spans="3:3" s="181" customFormat="1" hidden="1" x14ac:dyDescent="0.2">
      <c r="C1357" s="180"/>
    </row>
    <row r="1358" spans="3:3" s="181" customFormat="1" hidden="1" x14ac:dyDescent="0.2">
      <c r="C1358" s="180"/>
    </row>
    <row r="1359" spans="3:3" s="181" customFormat="1" hidden="1" x14ac:dyDescent="0.2">
      <c r="C1359" s="180"/>
    </row>
    <row r="1360" spans="3:3" s="181" customFormat="1" hidden="1" x14ac:dyDescent="0.2">
      <c r="C1360" s="180"/>
    </row>
    <row r="1361" spans="3:3" s="181" customFormat="1" hidden="1" x14ac:dyDescent="0.2">
      <c r="C1361" s="180"/>
    </row>
    <row r="1362" spans="3:3" s="181" customFormat="1" hidden="1" x14ac:dyDescent="0.2">
      <c r="C1362" s="180"/>
    </row>
    <row r="1363" spans="3:3" s="181" customFormat="1" hidden="1" x14ac:dyDescent="0.2">
      <c r="C1363" s="180"/>
    </row>
    <row r="1364" spans="3:3" s="181" customFormat="1" hidden="1" x14ac:dyDescent="0.2">
      <c r="C1364" s="180"/>
    </row>
    <row r="1365" spans="3:3" s="181" customFormat="1" hidden="1" x14ac:dyDescent="0.2">
      <c r="C1365" s="180"/>
    </row>
    <row r="1366" spans="3:3" s="181" customFormat="1" hidden="1" x14ac:dyDescent="0.2">
      <c r="C1366" s="180"/>
    </row>
    <row r="1367" spans="3:3" s="181" customFormat="1" hidden="1" x14ac:dyDescent="0.2">
      <c r="C1367" s="180"/>
    </row>
    <row r="1368" spans="3:3" s="181" customFormat="1" hidden="1" x14ac:dyDescent="0.2">
      <c r="C1368" s="180"/>
    </row>
    <row r="1369" spans="3:3" s="181" customFormat="1" hidden="1" x14ac:dyDescent="0.2">
      <c r="C1369" s="180"/>
    </row>
    <row r="1370" spans="3:3" s="181" customFormat="1" hidden="1" x14ac:dyDescent="0.2">
      <c r="C1370" s="180"/>
    </row>
    <row r="1371" spans="3:3" s="181" customFormat="1" hidden="1" x14ac:dyDescent="0.2">
      <c r="C1371" s="180"/>
    </row>
    <row r="1372" spans="3:3" s="181" customFormat="1" hidden="1" x14ac:dyDescent="0.2">
      <c r="C1372" s="180"/>
    </row>
    <row r="1373" spans="3:3" s="181" customFormat="1" hidden="1" x14ac:dyDescent="0.2">
      <c r="C1373" s="180"/>
    </row>
    <row r="1374" spans="3:3" s="181" customFormat="1" hidden="1" x14ac:dyDescent="0.2">
      <c r="C1374" s="180"/>
    </row>
    <row r="1375" spans="3:3" s="181" customFormat="1" hidden="1" x14ac:dyDescent="0.2">
      <c r="C1375" s="180"/>
    </row>
    <row r="1376" spans="3:3" s="181" customFormat="1" hidden="1" x14ac:dyDescent="0.2">
      <c r="C1376" s="180"/>
    </row>
    <row r="1377" spans="3:3" s="181" customFormat="1" hidden="1" x14ac:dyDescent="0.2">
      <c r="C1377" s="180"/>
    </row>
    <row r="1378" spans="3:3" s="181" customFormat="1" hidden="1" x14ac:dyDescent="0.2">
      <c r="C1378" s="180"/>
    </row>
    <row r="1379" spans="3:3" s="181" customFormat="1" hidden="1" x14ac:dyDescent="0.2">
      <c r="C1379" s="180"/>
    </row>
    <row r="1380" spans="3:3" s="181" customFormat="1" hidden="1" x14ac:dyDescent="0.2">
      <c r="C1380" s="180"/>
    </row>
    <row r="1381" spans="3:3" s="181" customFormat="1" hidden="1" x14ac:dyDescent="0.2">
      <c r="C1381" s="180"/>
    </row>
    <row r="1382" spans="3:3" s="181" customFormat="1" hidden="1" x14ac:dyDescent="0.2">
      <c r="C1382" s="180"/>
    </row>
    <row r="1383" spans="3:3" s="181" customFormat="1" hidden="1" x14ac:dyDescent="0.2">
      <c r="C1383" s="180"/>
    </row>
    <row r="1384" spans="3:3" s="181" customFormat="1" hidden="1" x14ac:dyDescent="0.2">
      <c r="C1384" s="180"/>
    </row>
    <row r="1385" spans="3:3" s="181" customFormat="1" hidden="1" x14ac:dyDescent="0.2">
      <c r="C1385" s="180"/>
    </row>
    <row r="1386" spans="3:3" s="181" customFormat="1" hidden="1" x14ac:dyDescent="0.2">
      <c r="C1386" s="180"/>
    </row>
    <row r="1387" spans="3:3" s="181" customFormat="1" hidden="1" x14ac:dyDescent="0.2">
      <c r="C1387" s="180"/>
    </row>
    <row r="1388" spans="3:3" s="181" customFormat="1" hidden="1" x14ac:dyDescent="0.2">
      <c r="C1388" s="180"/>
    </row>
    <row r="1389" spans="3:3" s="181" customFormat="1" hidden="1" x14ac:dyDescent="0.2">
      <c r="C1389" s="180"/>
    </row>
    <row r="1390" spans="3:3" s="181" customFormat="1" hidden="1" x14ac:dyDescent="0.2">
      <c r="C1390" s="180"/>
    </row>
    <row r="1391" spans="3:3" s="181" customFormat="1" hidden="1" x14ac:dyDescent="0.2">
      <c r="C1391" s="180"/>
    </row>
    <row r="1392" spans="3:3" s="181" customFormat="1" hidden="1" x14ac:dyDescent="0.2">
      <c r="C1392" s="180"/>
    </row>
    <row r="1393" spans="3:3" s="181" customFormat="1" hidden="1" x14ac:dyDescent="0.2">
      <c r="C1393" s="180"/>
    </row>
    <row r="1394" spans="3:3" s="181" customFormat="1" hidden="1" x14ac:dyDescent="0.2">
      <c r="C1394" s="180"/>
    </row>
    <row r="1395" spans="3:3" s="181" customFormat="1" hidden="1" x14ac:dyDescent="0.2">
      <c r="C1395" s="180"/>
    </row>
    <row r="1396" spans="3:3" s="181" customFormat="1" hidden="1" x14ac:dyDescent="0.2">
      <c r="C1396" s="180"/>
    </row>
    <row r="1397" spans="3:3" s="181" customFormat="1" hidden="1" x14ac:dyDescent="0.2">
      <c r="C1397" s="180"/>
    </row>
    <row r="1398" spans="3:3" s="181" customFormat="1" hidden="1" x14ac:dyDescent="0.2">
      <c r="C1398" s="180"/>
    </row>
    <row r="1399" spans="3:3" s="181" customFormat="1" hidden="1" x14ac:dyDescent="0.2">
      <c r="C1399" s="180"/>
    </row>
    <row r="1400" spans="3:3" s="181" customFormat="1" hidden="1" x14ac:dyDescent="0.2">
      <c r="C1400" s="180"/>
    </row>
    <row r="1401" spans="3:3" s="181" customFormat="1" hidden="1" x14ac:dyDescent="0.2">
      <c r="C1401" s="180"/>
    </row>
    <row r="1402" spans="3:3" s="181" customFormat="1" hidden="1" x14ac:dyDescent="0.2">
      <c r="C1402" s="180"/>
    </row>
    <row r="1403" spans="3:3" s="181" customFormat="1" hidden="1" x14ac:dyDescent="0.2">
      <c r="C1403" s="180"/>
    </row>
    <row r="1404" spans="3:3" s="181" customFormat="1" hidden="1" x14ac:dyDescent="0.2">
      <c r="C1404" s="180"/>
    </row>
    <row r="1405" spans="3:3" s="181" customFormat="1" hidden="1" x14ac:dyDescent="0.2">
      <c r="C1405" s="180"/>
    </row>
    <row r="1406" spans="3:3" s="181" customFormat="1" hidden="1" x14ac:dyDescent="0.2">
      <c r="C1406" s="180"/>
    </row>
    <row r="1407" spans="3:3" s="181" customFormat="1" hidden="1" x14ac:dyDescent="0.2">
      <c r="C1407" s="180"/>
    </row>
    <row r="1408" spans="3:3" s="181" customFormat="1" hidden="1" x14ac:dyDescent="0.2">
      <c r="C1408" s="180"/>
    </row>
    <row r="1409" spans="3:3" s="181" customFormat="1" hidden="1" x14ac:dyDescent="0.2">
      <c r="C1409" s="180"/>
    </row>
    <row r="1410" spans="3:3" s="181" customFormat="1" hidden="1" x14ac:dyDescent="0.2">
      <c r="C1410" s="180"/>
    </row>
    <row r="1411" spans="3:3" s="181" customFormat="1" hidden="1" x14ac:dyDescent="0.2">
      <c r="C1411" s="180"/>
    </row>
    <row r="1412" spans="3:3" s="181" customFormat="1" hidden="1" x14ac:dyDescent="0.2">
      <c r="C1412" s="180"/>
    </row>
    <row r="1413" spans="3:3" s="181" customFormat="1" hidden="1" x14ac:dyDescent="0.2">
      <c r="C1413" s="180"/>
    </row>
    <row r="1414" spans="3:3" s="181" customFormat="1" hidden="1" x14ac:dyDescent="0.2">
      <c r="C1414" s="180"/>
    </row>
    <row r="1415" spans="3:3" s="181" customFormat="1" hidden="1" x14ac:dyDescent="0.2">
      <c r="C1415" s="180"/>
    </row>
    <row r="1416" spans="3:3" s="181" customFormat="1" hidden="1" x14ac:dyDescent="0.2">
      <c r="C1416" s="180"/>
    </row>
    <row r="1417" spans="3:3" s="181" customFormat="1" hidden="1" x14ac:dyDescent="0.2">
      <c r="C1417" s="180"/>
    </row>
    <row r="1418" spans="3:3" s="181" customFormat="1" hidden="1" x14ac:dyDescent="0.2">
      <c r="C1418" s="180"/>
    </row>
    <row r="1419" spans="3:3" s="181" customFormat="1" hidden="1" x14ac:dyDescent="0.2">
      <c r="C1419" s="180"/>
    </row>
    <row r="1420" spans="3:3" s="181" customFormat="1" hidden="1" x14ac:dyDescent="0.2">
      <c r="C1420" s="180"/>
    </row>
    <row r="1421" spans="3:3" s="181" customFormat="1" hidden="1" x14ac:dyDescent="0.2">
      <c r="C1421" s="180"/>
    </row>
    <row r="1422" spans="3:3" s="181" customFormat="1" hidden="1" x14ac:dyDescent="0.2">
      <c r="C1422" s="180"/>
    </row>
    <row r="1423" spans="3:3" s="181" customFormat="1" hidden="1" x14ac:dyDescent="0.2">
      <c r="C1423" s="180"/>
    </row>
    <row r="1424" spans="3:3" s="181" customFormat="1" hidden="1" x14ac:dyDescent="0.2">
      <c r="C1424" s="180"/>
    </row>
    <row r="1425" spans="3:3" s="181" customFormat="1" hidden="1" x14ac:dyDescent="0.2">
      <c r="C1425" s="180"/>
    </row>
    <row r="1426" spans="3:3" s="181" customFormat="1" hidden="1" x14ac:dyDescent="0.2">
      <c r="C1426" s="180"/>
    </row>
    <row r="1427" spans="3:3" s="181" customFormat="1" hidden="1" x14ac:dyDescent="0.2">
      <c r="C1427" s="180"/>
    </row>
    <row r="1428" spans="3:3" s="181" customFormat="1" hidden="1" x14ac:dyDescent="0.2">
      <c r="C1428" s="180"/>
    </row>
    <row r="1429" spans="3:3" s="181" customFormat="1" hidden="1" x14ac:dyDescent="0.2">
      <c r="C1429" s="180"/>
    </row>
    <row r="1430" spans="3:3" s="181" customFormat="1" hidden="1" x14ac:dyDescent="0.2">
      <c r="C1430" s="180"/>
    </row>
    <row r="1431" spans="3:3" s="181" customFormat="1" hidden="1" x14ac:dyDescent="0.2">
      <c r="C1431" s="180"/>
    </row>
    <row r="1432" spans="3:3" s="181" customFormat="1" hidden="1" x14ac:dyDescent="0.2">
      <c r="C1432" s="180"/>
    </row>
    <row r="1433" spans="3:3" s="181" customFormat="1" hidden="1" x14ac:dyDescent="0.2">
      <c r="C1433" s="180"/>
    </row>
    <row r="1434" spans="3:3" s="181" customFormat="1" hidden="1" x14ac:dyDescent="0.2">
      <c r="C1434" s="180"/>
    </row>
    <row r="1435" spans="3:3" s="181" customFormat="1" hidden="1" x14ac:dyDescent="0.2">
      <c r="C1435" s="180"/>
    </row>
    <row r="1436" spans="3:3" s="181" customFormat="1" hidden="1" x14ac:dyDescent="0.2">
      <c r="C1436" s="180"/>
    </row>
    <row r="1437" spans="3:3" s="181" customFormat="1" hidden="1" x14ac:dyDescent="0.2">
      <c r="C1437" s="180"/>
    </row>
    <row r="1438" spans="3:3" s="181" customFormat="1" hidden="1" x14ac:dyDescent="0.2">
      <c r="C1438" s="180"/>
    </row>
    <row r="1439" spans="3:3" s="181" customFormat="1" hidden="1" x14ac:dyDescent="0.2">
      <c r="C1439" s="180"/>
    </row>
    <row r="1440" spans="3:3" s="181" customFormat="1" hidden="1" x14ac:dyDescent="0.2">
      <c r="C1440" s="180"/>
    </row>
    <row r="1441" spans="3:3" s="181" customFormat="1" hidden="1" x14ac:dyDescent="0.2">
      <c r="C1441" s="180"/>
    </row>
    <row r="1442" spans="3:3" s="181" customFormat="1" hidden="1" x14ac:dyDescent="0.2">
      <c r="C1442" s="180"/>
    </row>
    <row r="1443" spans="3:3" s="181" customFormat="1" hidden="1" x14ac:dyDescent="0.2">
      <c r="C1443" s="180"/>
    </row>
    <row r="1444" spans="3:3" s="181" customFormat="1" hidden="1" x14ac:dyDescent="0.2">
      <c r="C1444" s="180"/>
    </row>
    <row r="1445" spans="3:3" s="181" customFormat="1" hidden="1" x14ac:dyDescent="0.2">
      <c r="C1445" s="180"/>
    </row>
    <row r="1446" spans="3:3" s="181" customFormat="1" hidden="1" x14ac:dyDescent="0.2">
      <c r="C1446" s="180"/>
    </row>
    <row r="1447" spans="3:3" s="181" customFormat="1" hidden="1" x14ac:dyDescent="0.2">
      <c r="C1447" s="180"/>
    </row>
    <row r="1448" spans="3:3" s="181" customFormat="1" hidden="1" x14ac:dyDescent="0.2">
      <c r="C1448" s="180"/>
    </row>
    <row r="1449" spans="3:3" s="181" customFormat="1" hidden="1" x14ac:dyDescent="0.2">
      <c r="C1449" s="180"/>
    </row>
    <row r="1450" spans="3:3" s="181" customFormat="1" hidden="1" x14ac:dyDescent="0.2">
      <c r="C1450" s="180"/>
    </row>
    <row r="1451" spans="3:3" s="181" customFormat="1" hidden="1" x14ac:dyDescent="0.2">
      <c r="C1451" s="180"/>
    </row>
    <row r="1452" spans="3:3" s="181" customFormat="1" hidden="1" x14ac:dyDescent="0.2">
      <c r="C1452" s="180"/>
    </row>
    <row r="1453" spans="3:3" s="181" customFormat="1" hidden="1" x14ac:dyDescent="0.2">
      <c r="C1453" s="180"/>
    </row>
    <row r="1454" spans="3:3" s="181" customFormat="1" hidden="1" x14ac:dyDescent="0.2">
      <c r="C1454" s="180"/>
    </row>
    <row r="1455" spans="3:3" s="181" customFormat="1" hidden="1" x14ac:dyDescent="0.2">
      <c r="C1455" s="180"/>
    </row>
    <row r="1456" spans="3:3" s="181" customFormat="1" hidden="1" x14ac:dyDescent="0.2">
      <c r="C1456" s="180"/>
    </row>
    <row r="1457" spans="3:3" s="181" customFormat="1" hidden="1" x14ac:dyDescent="0.2">
      <c r="C1457" s="180"/>
    </row>
    <row r="1458" spans="3:3" s="181" customFormat="1" hidden="1" x14ac:dyDescent="0.2">
      <c r="C1458" s="180"/>
    </row>
    <row r="1459" spans="3:3" s="181" customFormat="1" hidden="1" x14ac:dyDescent="0.2">
      <c r="C1459" s="180"/>
    </row>
    <row r="1460" spans="3:3" s="181" customFormat="1" hidden="1" x14ac:dyDescent="0.2">
      <c r="C1460" s="180"/>
    </row>
    <row r="1461" spans="3:3" s="181" customFormat="1" hidden="1" x14ac:dyDescent="0.2">
      <c r="C1461" s="180"/>
    </row>
    <row r="1462" spans="3:3" s="181" customFormat="1" hidden="1" x14ac:dyDescent="0.2">
      <c r="C1462" s="180"/>
    </row>
    <row r="1463" spans="3:3" s="181" customFormat="1" hidden="1" x14ac:dyDescent="0.2">
      <c r="C1463" s="180"/>
    </row>
    <row r="1464" spans="3:3" s="181" customFormat="1" hidden="1" x14ac:dyDescent="0.2">
      <c r="C1464" s="180"/>
    </row>
    <row r="1465" spans="3:3" s="181" customFormat="1" hidden="1" x14ac:dyDescent="0.2">
      <c r="C1465" s="180"/>
    </row>
    <row r="1466" spans="3:3" s="181" customFormat="1" hidden="1" x14ac:dyDescent="0.2">
      <c r="C1466" s="180"/>
    </row>
    <row r="1467" spans="3:3" s="181" customFormat="1" hidden="1" x14ac:dyDescent="0.2">
      <c r="C1467" s="180"/>
    </row>
    <row r="1468" spans="3:3" s="181" customFormat="1" hidden="1" x14ac:dyDescent="0.2">
      <c r="C1468" s="180"/>
    </row>
    <row r="1469" spans="3:3" s="181" customFormat="1" hidden="1" x14ac:dyDescent="0.2">
      <c r="C1469" s="180"/>
    </row>
    <row r="1470" spans="3:3" s="181" customFormat="1" hidden="1" x14ac:dyDescent="0.2">
      <c r="C1470" s="180"/>
    </row>
    <row r="1471" spans="3:3" s="181" customFormat="1" hidden="1" x14ac:dyDescent="0.2">
      <c r="C1471" s="180"/>
    </row>
    <row r="1472" spans="3:3" s="181" customFormat="1" hidden="1" x14ac:dyDescent="0.2">
      <c r="C1472" s="180"/>
    </row>
    <row r="1473" spans="3:3" s="181" customFormat="1" hidden="1" x14ac:dyDescent="0.2">
      <c r="C1473" s="180"/>
    </row>
    <row r="1474" spans="3:3" s="181" customFormat="1" hidden="1" x14ac:dyDescent="0.2">
      <c r="C1474" s="180"/>
    </row>
    <row r="1475" spans="3:3" s="181" customFormat="1" hidden="1" x14ac:dyDescent="0.2">
      <c r="C1475" s="180"/>
    </row>
    <row r="1476" spans="3:3" s="181" customFormat="1" hidden="1" x14ac:dyDescent="0.2">
      <c r="C1476" s="180"/>
    </row>
    <row r="1477" spans="3:3" s="181" customFormat="1" hidden="1" x14ac:dyDescent="0.2">
      <c r="C1477" s="180"/>
    </row>
    <row r="1478" spans="3:3" s="181" customFormat="1" hidden="1" x14ac:dyDescent="0.2">
      <c r="C1478" s="180"/>
    </row>
    <row r="1479" spans="3:3" s="181" customFormat="1" hidden="1" x14ac:dyDescent="0.2">
      <c r="C1479" s="180"/>
    </row>
    <row r="1480" spans="3:3" s="181" customFormat="1" hidden="1" x14ac:dyDescent="0.2">
      <c r="C1480" s="180"/>
    </row>
    <row r="1481" spans="3:3" s="181" customFormat="1" hidden="1" x14ac:dyDescent="0.2">
      <c r="C1481" s="180"/>
    </row>
    <row r="1482" spans="3:3" s="181" customFormat="1" hidden="1" x14ac:dyDescent="0.2">
      <c r="C1482" s="180"/>
    </row>
    <row r="1483" spans="3:3" s="181" customFormat="1" hidden="1" x14ac:dyDescent="0.2">
      <c r="C1483" s="180"/>
    </row>
    <row r="1484" spans="3:3" s="181" customFormat="1" hidden="1" x14ac:dyDescent="0.2">
      <c r="C1484" s="180"/>
    </row>
    <row r="1485" spans="3:3" s="181" customFormat="1" hidden="1" x14ac:dyDescent="0.2">
      <c r="C1485" s="180"/>
    </row>
    <row r="1486" spans="3:3" s="181" customFormat="1" hidden="1" x14ac:dyDescent="0.2">
      <c r="C1486" s="180"/>
    </row>
    <row r="1487" spans="3:3" s="181" customFormat="1" hidden="1" x14ac:dyDescent="0.2">
      <c r="C1487" s="180"/>
    </row>
    <row r="1488" spans="3:3" s="181" customFormat="1" hidden="1" x14ac:dyDescent="0.2">
      <c r="C1488" s="180"/>
    </row>
    <row r="1489" spans="3:3" s="181" customFormat="1" hidden="1" x14ac:dyDescent="0.2">
      <c r="C1489" s="180"/>
    </row>
    <row r="1490" spans="3:3" s="181" customFormat="1" hidden="1" x14ac:dyDescent="0.2">
      <c r="C1490" s="180"/>
    </row>
    <row r="1491" spans="3:3" s="181" customFormat="1" hidden="1" x14ac:dyDescent="0.2">
      <c r="C1491" s="180"/>
    </row>
    <row r="1492" spans="3:3" s="181" customFormat="1" hidden="1" x14ac:dyDescent="0.2">
      <c r="C1492" s="180"/>
    </row>
    <row r="1493" spans="3:3" s="181" customFormat="1" hidden="1" x14ac:dyDescent="0.2">
      <c r="C1493" s="180"/>
    </row>
    <row r="1494" spans="3:3" s="181" customFormat="1" hidden="1" x14ac:dyDescent="0.2">
      <c r="C1494" s="180"/>
    </row>
    <row r="1495" spans="3:3" s="181" customFormat="1" hidden="1" x14ac:dyDescent="0.2">
      <c r="C1495" s="180"/>
    </row>
    <row r="1496" spans="3:3" s="181" customFormat="1" hidden="1" x14ac:dyDescent="0.2">
      <c r="C1496" s="180"/>
    </row>
    <row r="1497" spans="3:3" s="181" customFormat="1" hidden="1" x14ac:dyDescent="0.2">
      <c r="C1497" s="180"/>
    </row>
    <row r="1498" spans="3:3" s="181" customFormat="1" hidden="1" x14ac:dyDescent="0.2">
      <c r="C1498" s="180"/>
    </row>
    <row r="1499" spans="3:3" s="181" customFormat="1" hidden="1" x14ac:dyDescent="0.2">
      <c r="C1499" s="180"/>
    </row>
    <row r="1500" spans="3:3" s="181" customFormat="1" hidden="1" x14ac:dyDescent="0.2">
      <c r="C1500" s="180"/>
    </row>
    <row r="1501" spans="3:3" s="181" customFormat="1" hidden="1" x14ac:dyDescent="0.2">
      <c r="C1501" s="180"/>
    </row>
    <row r="1502" spans="3:3" s="181" customFormat="1" hidden="1" x14ac:dyDescent="0.2">
      <c r="C1502" s="180"/>
    </row>
    <row r="1503" spans="3:3" s="181" customFormat="1" hidden="1" x14ac:dyDescent="0.2">
      <c r="C1503" s="180"/>
    </row>
    <row r="1504" spans="3:3" s="181" customFormat="1" hidden="1" x14ac:dyDescent="0.2">
      <c r="C1504" s="180"/>
    </row>
    <row r="1505" spans="3:3" s="181" customFormat="1" hidden="1" x14ac:dyDescent="0.2">
      <c r="C1505" s="180"/>
    </row>
    <row r="1506" spans="3:3" s="181" customFormat="1" hidden="1" x14ac:dyDescent="0.2">
      <c r="C1506" s="180"/>
    </row>
    <row r="1507" spans="3:3" s="181" customFormat="1" hidden="1" x14ac:dyDescent="0.2">
      <c r="C1507" s="180"/>
    </row>
    <row r="1508" spans="3:3" s="181" customFormat="1" hidden="1" x14ac:dyDescent="0.2">
      <c r="C1508" s="180"/>
    </row>
    <row r="1509" spans="3:3" s="181" customFormat="1" hidden="1" x14ac:dyDescent="0.2">
      <c r="C1509" s="180"/>
    </row>
    <row r="1510" spans="3:3" s="181" customFormat="1" hidden="1" x14ac:dyDescent="0.2">
      <c r="C1510" s="180"/>
    </row>
    <row r="1511" spans="3:3" s="181" customFormat="1" hidden="1" x14ac:dyDescent="0.2">
      <c r="C1511" s="180"/>
    </row>
    <row r="1512" spans="3:3" s="181" customFormat="1" hidden="1" x14ac:dyDescent="0.2">
      <c r="C1512" s="180"/>
    </row>
    <row r="1513" spans="3:3" s="181" customFormat="1" hidden="1" x14ac:dyDescent="0.2">
      <c r="C1513" s="180"/>
    </row>
    <row r="1514" spans="3:3" s="181" customFormat="1" hidden="1" x14ac:dyDescent="0.2">
      <c r="C1514" s="180"/>
    </row>
    <row r="1515" spans="3:3" s="181" customFormat="1" hidden="1" x14ac:dyDescent="0.2">
      <c r="C1515" s="180"/>
    </row>
    <row r="1516" spans="3:3" s="181" customFormat="1" hidden="1" x14ac:dyDescent="0.2">
      <c r="C1516" s="180"/>
    </row>
    <row r="1517" spans="3:3" s="181" customFormat="1" hidden="1" x14ac:dyDescent="0.2">
      <c r="C1517" s="180"/>
    </row>
    <row r="1518" spans="3:3" s="181" customFormat="1" hidden="1" x14ac:dyDescent="0.2">
      <c r="C1518" s="180"/>
    </row>
    <row r="1519" spans="3:3" s="181" customFormat="1" hidden="1" x14ac:dyDescent="0.2">
      <c r="C1519" s="180"/>
    </row>
    <row r="1520" spans="3:3" s="181" customFormat="1" hidden="1" x14ac:dyDescent="0.2">
      <c r="C1520" s="180"/>
    </row>
    <row r="1521" spans="3:3" s="181" customFormat="1" hidden="1" x14ac:dyDescent="0.2">
      <c r="C1521" s="180"/>
    </row>
    <row r="1522" spans="3:3" s="181" customFormat="1" hidden="1" x14ac:dyDescent="0.2">
      <c r="C1522" s="180"/>
    </row>
    <row r="1523" spans="3:3" s="181" customFormat="1" hidden="1" x14ac:dyDescent="0.2">
      <c r="C1523" s="180"/>
    </row>
    <row r="1524" spans="3:3" s="181" customFormat="1" hidden="1" x14ac:dyDescent="0.2">
      <c r="C1524" s="180"/>
    </row>
    <row r="1525" spans="3:3" s="181" customFormat="1" hidden="1" x14ac:dyDescent="0.2">
      <c r="C1525" s="180"/>
    </row>
    <row r="1526" spans="3:3" s="181" customFormat="1" hidden="1" x14ac:dyDescent="0.2">
      <c r="C1526" s="180"/>
    </row>
    <row r="1527" spans="3:3" s="181" customFormat="1" hidden="1" x14ac:dyDescent="0.2">
      <c r="C1527" s="180"/>
    </row>
    <row r="1528" spans="3:3" s="181" customFormat="1" hidden="1" x14ac:dyDescent="0.2">
      <c r="C1528" s="180"/>
    </row>
    <row r="1529" spans="3:3" s="181" customFormat="1" hidden="1" x14ac:dyDescent="0.2">
      <c r="C1529" s="180"/>
    </row>
    <row r="1530" spans="3:3" s="181" customFormat="1" hidden="1" x14ac:dyDescent="0.2">
      <c r="C1530" s="180"/>
    </row>
    <row r="1531" spans="3:3" s="181" customFormat="1" hidden="1" x14ac:dyDescent="0.2">
      <c r="C1531" s="180"/>
    </row>
    <row r="1532" spans="3:3" s="181" customFormat="1" hidden="1" x14ac:dyDescent="0.2">
      <c r="C1532" s="180"/>
    </row>
    <row r="1533" spans="3:3" s="181" customFormat="1" hidden="1" x14ac:dyDescent="0.2">
      <c r="C1533" s="180"/>
    </row>
    <row r="1534" spans="3:3" s="181" customFormat="1" hidden="1" x14ac:dyDescent="0.2">
      <c r="C1534" s="180"/>
    </row>
    <row r="1535" spans="3:3" s="181" customFormat="1" hidden="1" x14ac:dyDescent="0.2">
      <c r="C1535" s="180"/>
    </row>
    <row r="1536" spans="3:3" s="181" customFormat="1" hidden="1" x14ac:dyDescent="0.2">
      <c r="C1536" s="180"/>
    </row>
    <row r="1537" spans="3:3" s="181" customFormat="1" hidden="1" x14ac:dyDescent="0.2">
      <c r="C1537" s="180"/>
    </row>
    <row r="1538" spans="3:3" s="181" customFormat="1" hidden="1" x14ac:dyDescent="0.2">
      <c r="C1538" s="180"/>
    </row>
    <row r="1539" spans="3:3" s="181" customFormat="1" hidden="1" x14ac:dyDescent="0.2">
      <c r="C1539" s="180"/>
    </row>
    <row r="1540" spans="3:3" s="181" customFormat="1" hidden="1" x14ac:dyDescent="0.2">
      <c r="C1540" s="180"/>
    </row>
    <row r="1541" spans="3:3" s="181" customFormat="1" hidden="1" x14ac:dyDescent="0.2">
      <c r="C1541" s="180"/>
    </row>
    <row r="1542" spans="3:3" s="181" customFormat="1" hidden="1" x14ac:dyDescent="0.2">
      <c r="C1542" s="180"/>
    </row>
    <row r="1543" spans="3:3" s="181" customFormat="1" hidden="1" x14ac:dyDescent="0.2">
      <c r="C1543" s="180"/>
    </row>
    <row r="1544" spans="3:3" s="181" customFormat="1" hidden="1" x14ac:dyDescent="0.2">
      <c r="C1544" s="180"/>
    </row>
    <row r="1545" spans="3:3" s="181" customFormat="1" hidden="1" x14ac:dyDescent="0.2">
      <c r="C1545" s="180"/>
    </row>
    <row r="1546" spans="3:3" s="181" customFormat="1" hidden="1" x14ac:dyDescent="0.2">
      <c r="C1546" s="180"/>
    </row>
    <row r="1547" spans="3:3" s="181" customFormat="1" hidden="1" x14ac:dyDescent="0.2">
      <c r="C1547" s="180"/>
    </row>
    <row r="1548" spans="3:3" s="181" customFormat="1" hidden="1" x14ac:dyDescent="0.2">
      <c r="C1548" s="180"/>
    </row>
    <row r="1549" spans="3:3" s="181" customFormat="1" hidden="1" x14ac:dyDescent="0.2">
      <c r="C1549" s="180"/>
    </row>
    <row r="1550" spans="3:3" s="181" customFormat="1" hidden="1" x14ac:dyDescent="0.2">
      <c r="C1550" s="180"/>
    </row>
    <row r="1551" spans="3:3" s="181" customFormat="1" hidden="1" x14ac:dyDescent="0.2">
      <c r="C1551" s="180"/>
    </row>
    <row r="1552" spans="3:3" s="181" customFormat="1" hidden="1" x14ac:dyDescent="0.2">
      <c r="C1552" s="180"/>
    </row>
    <row r="1553" spans="3:3" s="181" customFormat="1" hidden="1" x14ac:dyDescent="0.2">
      <c r="C1553" s="180"/>
    </row>
    <row r="1554" spans="3:3" s="181" customFormat="1" hidden="1" x14ac:dyDescent="0.2">
      <c r="C1554" s="180"/>
    </row>
    <row r="1555" spans="3:3" s="181" customFormat="1" hidden="1" x14ac:dyDescent="0.2">
      <c r="C1555" s="180"/>
    </row>
    <row r="1556" spans="3:3" s="181" customFormat="1" hidden="1" x14ac:dyDescent="0.2">
      <c r="C1556" s="180"/>
    </row>
    <row r="1557" spans="3:3" s="181" customFormat="1" hidden="1" x14ac:dyDescent="0.2">
      <c r="C1557" s="180"/>
    </row>
    <row r="1558" spans="3:3" s="181" customFormat="1" hidden="1" x14ac:dyDescent="0.2">
      <c r="C1558" s="180"/>
    </row>
    <row r="1559" spans="3:3" s="181" customFormat="1" hidden="1" x14ac:dyDescent="0.2">
      <c r="C1559" s="180"/>
    </row>
    <row r="1560" spans="3:3" s="181" customFormat="1" hidden="1" x14ac:dyDescent="0.2">
      <c r="C1560" s="180"/>
    </row>
    <row r="1561" spans="3:3" s="181" customFormat="1" hidden="1" x14ac:dyDescent="0.2">
      <c r="C1561" s="180"/>
    </row>
    <row r="1562" spans="3:3" s="181" customFormat="1" hidden="1" x14ac:dyDescent="0.2">
      <c r="C1562" s="180"/>
    </row>
    <row r="1563" spans="3:3" s="181" customFormat="1" hidden="1" x14ac:dyDescent="0.2">
      <c r="C1563" s="180"/>
    </row>
    <row r="1564" spans="3:3" s="181" customFormat="1" hidden="1" x14ac:dyDescent="0.2">
      <c r="C1564" s="180"/>
    </row>
    <row r="1565" spans="3:3" s="181" customFormat="1" hidden="1" x14ac:dyDescent="0.2">
      <c r="C1565" s="180"/>
    </row>
    <row r="1566" spans="3:3" s="181" customFormat="1" hidden="1" x14ac:dyDescent="0.2">
      <c r="C1566" s="180"/>
    </row>
    <row r="1567" spans="3:3" s="181" customFormat="1" hidden="1" x14ac:dyDescent="0.2">
      <c r="C1567" s="180"/>
    </row>
    <row r="1568" spans="3:3" s="181" customFormat="1" hidden="1" x14ac:dyDescent="0.2">
      <c r="C1568" s="180"/>
    </row>
    <row r="1569" spans="3:3" s="181" customFormat="1" hidden="1" x14ac:dyDescent="0.2">
      <c r="C1569" s="180"/>
    </row>
    <row r="1570" spans="3:3" s="181" customFormat="1" hidden="1" x14ac:dyDescent="0.2">
      <c r="C1570" s="180"/>
    </row>
    <row r="1571" spans="3:3" s="181" customFormat="1" hidden="1" x14ac:dyDescent="0.2">
      <c r="C1571" s="180"/>
    </row>
    <row r="1572" spans="3:3" s="181" customFormat="1" hidden="1" x14ac:dyDescent="0.2">
      <c r="C1572" s="180"/>
    </row>
    <row r="1573" spans="3:3" s="181" customFormat="1" hidden="1" x14ac:dyDescent="0.2">
      <c r="C1573" s="180"/>
    </row>
    <row r="1574" spans="3:3" s="181" customFormat="1" hidden="1" x14ac:dyDescent="0.2">
      <c r="C1574" s="180"/>
    </row>
    <row r="1575" spans="3:3" s="181" customFormat="1" hidden="1" x14ac:dyDescent="0.2">
      <c r="C1575" s="180"/>
    </row>
    <row r="1576" spans="3:3" s="181" customFormat="1" hidden="1" x14ac:dyDescent="0.2">
      <c r="C1576" s="180"/>
    </row>
    <row r="1577" spans="3:3" s="181" customFormat="1" hidden="1" x14ac:dyDescent="0.2">
      <c r="C1577" s="180"/>
    </row>
    <row r="1578" spans="3:3" s="181" customFormat="1" hidden="1" x14ac:dyDescent="0.2">
      <c r="C1578" s="180"/>
    </row>
    <row r="1579" spans="3:3" s="181" customFormat="1" hidden="1" x14ac:dyDescent="0.2">
      <c r="C1579" s="180"/>
    </row>
    <row r="1580" spans="3:3" s="181" customFormat="1" hidden="1" x14ac:dyDescent="0.2">
      <c r="C1580" s="180"/>
    </row>
    <row r="1581" spans="3:3" s="181" customFormat="1" hidden="1" x14ac:dyDescent="0.2">
      <c r="C1581" s="180"/>
    </row>
    <row r="1582" spans="3:3" s="181" customFormat="1" hidden="1" x14ac:dyDescent="0.2">
      <c r="C1582" s="180"/>
    </row>
    <row r="1583" spans="3:3" s="181" customFormat="1" hidden="1" x14ac:dyDescent="0.2">
      <c r="C1583" s="180"/>
    </row>
    <row r="1584" spans="3:3" s="181" customFormat="1" hidden="1" x14ac:dyDescent="0.2">
      <c r="C1584" s="180"/>
    </row>
    <row r="1585" spans="3:3" s="181" customFormat="1" hidden="1" x14ac:dyDescent="0.2">
      <c r="C1585" s="180"/>
    </row>
    <row r="1586" spans="3:3" s="181" customFormat="1" hidden="1" x14ac:dyDescent="0.2">
      <c r="C1586" s="180"/>
    </row>
    <row r="1587" spans="3:3" s="181" customFormat="1" hidden="1" x14ac:dyDescent="0.2">
      <c r="C1587" s="180"/>
    </row>
    <row r="1588" spans="3:3" s="181" customFormat="1" hidden="1" x14ac:dyDescent="0.2">
      <c r="C1588" s="180"/>
    </row>
    <row r="1589" spans="3:3" s="181" customFormat="1" hidden="1" x14ac:dyDescent="0.2">
      <c r="C1589" s="180"/>
    </row>
    <row r="1590" spans="3:3" s="181" customFormat="1" hidden="1" x14ac:dyDescent="0.2">
      <c r="C1590" s="180"/>
    </row>
    <row r="1591" spans="3:3" s="181" customFormat="1" hidden="1" x14ac:dyDescent="0.2">
      <c r="C1591" s="180"/>
    </row>
    <row r="1592" spans="3:3" s="181" customFormat="1" hidden="1" x14ac:dyDescent="0.2">
      <c r="C1592" s="180"/>
    </row>
    <row r="1593" spans="3:3" s="181" customFormat="1" hidden="1" x14ac:dyDescent="0.2">
      <c r="C1593" s="180"/>
    </row>
    <row r="1594" spans="3:3" s="181" customFormat="1" hidden="1" x14ac:dyDescent="0.2">
      <c r="C1594" s="180"/>
    </row>
    <row r="1595" spans="3:3" s="181" customFormat="1" hidden="1" x14ac:dyDescent="0.2">
      <c r="C1595" s="180"/>
    </row>
    <row r="1596" spans="3:3" s="181" customFormat="1" hidden="1" x14ac:dyDescent="0.2">
      <c r="C1596" s="180"/>
    </row>
    <row r="1597" spans="3:3" s="181" customFormat="1" hidden="1" x14ac:dyDescent="0.2">
      <c r="C1597" s="180"/>
    </row>
    <row r="1598" spans="3:3" s="181" customFormat="1" hidden="1" x14ac:dyDescent="0.2">
      <c r="C1598" s="180"/>
    </row>
    <row r="1599" spans="3:3" s="181" customFormat="1" hidden="1" x14ac:dyDescent="0.2">
      <c r="C1599" s="180"/>
    </row>
    <row r="1600" spans="3:3" s="181" customFormat="1" hidden="1" x14ac:dyDescent="0.2">
      <c r="C1600" s="180"/>
    </row>
    <row r="1601" spans="3:3" s="181" customFormat="1" hidden="1" x14ac:dyDescent="0.2">
      <c r="C1601" s="180"/>
    </row>
    <row r="1602" spans="3:3" s="181" customFormat="1" hidden="1" x14ac:dyDescent="0.2">
      <c r="C1602" s="180"/>
    </row>
    <row r="1603" spans="3:3" s="181" customFormat="1" hidden="1" x14ac:dyDescent="0.2">
      <c r="C1603" s="180"/>
    </row>
    <row r="1604" spans="3:3" s="181" customFormat="1" hidden="1" x14ac:dyDescent="0.2">
      <c r="C1604" s="180"/>
    </row>
    <row r="1605" spans="3:3" s="181" customFormat="1" hidden="1" x14ac:dyDescent="0.2">
      <c r="C1605" s="180"/>
    </row>
    <row r="1606" spans="3:3" s="181" customFormat="1" hidden="1" x14ac:dyDescent="0.2">
      <c r="C1606" s="180"/>
    </row>
    <row r="1607" spans="3:3" s="181" customFormat="1" hidden="1" x14ac:dyDescent="0.2">
      <c r="C1607" s="180"/>
    </row>
    <row r="1608" spans="3:3" s="181" customFormat="1" hidden="1" x14ac:dyDescent="0.2">
      <c r="C1608" s="180"/>
    </row>
    <row r="1609" spans="3:3" s="181" customFormat="1" hidden="1" x14ac:dyDescent="0.2">
      <c r="C1609" s="180"/>
    </row>
    <row r="1610" spans="3:3" s="181" customFormat="1" hidden="1" x14ac:dyDescent="0.2">
      <c r="C1610" s="180"/>
    </row>
    <row r="1611" spans="3:3" s="181" customFormat="1" hidden="1" x14ac:dyDescent="0.2">
      <c r="C1611" s="180"/>
    </row>
    <row r="1612" spans="3:3" s="181" customFormat="1" hidden="1" x14ac:dyDescent="0.2">
      <c r="C1612" s="180"/>
    </row>
    <row r="1613" spans="3:3" s="181" customFormat="1" hidden="1" x14ac:dyDescent="0.2">
      <c r="C1613" s="180"/>
    </row>
    <row r="1614" spans="3:3" s="181" customFormat="1" hidden="1" x14ac:dyDescent="0.2">
      <c r="C1614" s="180"/>
    </row>
    <row r="1615" spans="3:3" s="181" customFormat="1" hidden="1" x14ac:dyDescent="0.2">
      <c r="C1615" s="180"/>
    </row>
    <row r="1616" spans="3:3" s="181" customFormat="1" hidden="1" x14ac:dyDescent="0.2">
      <c r="C1616" s="180"/>
    </row>
    <row r="1617" spans="3:3" s="181" customFormat="1" hidden="1" x14ac:dyDescent="0.2">
      <c r="C1617" s="180"/>
    </row>
    <row r="1618" spans="3:3" s="181" customFormat="1" hidden="1" x14ac:dyDescent="0.2">
      <c r="C1618" s="180"/>
    </row>
    <row r="1619" spans="3:3" s="181" customFormat="1" hidden="1" x14ac:dyDescent="0.2">
      <c r="C1619" s="180"/>
    </row>
    <row r="1620" spans="3:3" s="181" customFormat="1" hidden="1" x14ac:dyDescent="0.2">
      <c r="C1620" s="180"/>
    </row>
    <row r="1621" spans="3:3" s="181" customFormat="1" hidden="1" x14ac:dyDescent="0.2">
      <c r="C1621" s="180"/>
    </row>
    <row r="1622" spans="3:3" s="181" customFormat="1" hidden="1" x14ac:dyDescent="0.2">
      <c r="C1622" s="180"/>
    </row>
    <row r="1623" spans="3:3" s="181" customFormat="1" hidden="1" x14ac:dyDescent="0.2">
      <c r="C1623" s="180"/>
    </row>
    <row r="1624" spans="3:3" s="181" customFormat="1" hidden="1" x14ac:dyDescent="0.2">
      <c r="C1624" s="180"/>
    </row>
    <row r="1625" spans="3:3" s="181" customFormat="1" hidden="1" x14ac:dyDescent="0.2">
      <c r="C1625" s="180"/>
    </row>
    <row r="1626" spans="3:3" s="181" customFormat="1" hidden="1" x14ac:dyDescent="0.2">
      <c r="C1626" s="180"/>
    </row>
    <row r="1627" spans="3:3" s="181" customFormat="1" hidden="1" x14ac:dyDescent="0.2">
      <c r="C1627" s="180"/>
    </row>
    <row r="1628" spans="3:3" s="181" customFormat="1" hidden="1" x14ac:dyDescent="0.2">
      <c r="C1628" s="180"/>
    </row>
    <row r="1629" spans="3:3" s="181" customFormat="1" hidden="1" x14ac:dyDescent="0.2">
      <c r="C1629" s="180"/>
    </row>
    <row r="1630" spans="3:3" s="181" customFormat="1" hidden="1" x14ac:dyDescent="0.2">
      <c r="C1630" s="180"/>
    </row>
    <row r="1631" spans="3:3" s="181" customFormat="1" hidden="1" x14ac:dyDescent="0.2">
      <c r="C1631" s="180"/>
    </row>
    <row r="1632" spans="3:3" s="181" customFormat="1" hidden="1" x14ac:dyDescent="0.2">
      <c r="C1632" s="180"/>
    </row>
    <row r="1633" spans="3:3" s="181" customFormat="1" hidden="1" x14ac:dyDescent="0.2">
      <c r="C1633" s="180"/>
    </row>
    <row r="1634" spans="3:3" s="181" customFormat="1" hidden="1" x14ac:dyDescent="0.2">
      <c r="C1634" s="180"/>
    </row>
    <row r="1635" spans="3:3" s="181" customFormat="1" hidden="1" x14ac:dyDescent="0.2">
      <c r="C1635" s="180"/>
    </row>
    <row r="1636" spans="3:3" s="181" customFormat="1" hidden="1" x14ac:dyDescent="0.2">
      <c r="C1636" s="180"/>
    </row>
    <row r="1637" spans="3:3" s="181" customFormat="1" hidden="1" x14ac:dyDescent="0.2">
      <c r="C1637" s="180"/>
    </row>
    <row r="1638" spans="3:3" s="181" customFormat="1" hidden="1" x14ac:dyDescent="0.2">
      <c r="C1638" s="180"/>
    </row>
    <row r="1639" spans="3:3" s="181" customFormat="1" hidden="1" x14ac:dyDescent="0.2">
      <c r="C1639" s="180"/>
    </row>
    <row r="1640" spans="3:3" s="181" customFormat="1" hidden="1" x14ac:dyDescent="0.2">
      <c r="C1640" s="180"/>
    </row>
    <row r="1641" spans="3:3" s="181" customFormat="1" hidden="1" x14ac:dyDescent="0.2">
      <c r="C1641" s="180"/>
    </row>
    <row r="1642" spans="3:3" s="181" customFormat="1" hidden="1" x14ac:dyDescent="0.2">
      <c r="C1642" s="180"/>
    </row>
    <row r="1643" spans="3:3" s="181" customFormat="1" hidden="1" x14ac:dyDescent="0.2">
      <c r="C1643" s="180"/>
    </row>
    <row r="1644" spans="3:3" s="181" customFormat="1" hidden="1" x14ac:dyDescent="0.2">
      <c r="C1644" s="180"/>
    </row>
    <row r="1645" spans="3:3" s="181" customFormat="1" hidden="1" x14ac:dyDescent="0.2">
      <c r="C1645" s="180"/>
    </row>
    <row r="1646" spans="3:3" s="181" customFormat="1" hidden="1" x14ac:dyDescent="0.2">
      <c r="C1646" s="180"/>
    </row>
    <row r="1647" spans="3:3" s="181" customFormat="1" hidden="1" x14ac:dyDescent="0.2">
      <c r="C1647" s="180"/>
    </row>
    <row r="1648" spans="3:3" s="181" customFormat="1" hidden="1" x14ac:dyDescent="0.2">
      <c r="C1648" s="180"/>
    </row>
    <row r="1649" spans="3:3" s="181" customFormat="1" hidden="1" x14ac:dyDescent="0.2">
      <c r="C1649" s="180"/>
    </row>
    <row r="1650" spans="3:3" s="181" customFormat="1" hidden="1" x14ac:dyDescent="0.2">
      <c r="C1650" s="180"/>
    </row>
    <row r="1651" spans="3:3" s="181" customFormat="1" hidden="1" x14ac:dyDescent="0.2">
      <c r="C1651" s="180"/>
    </row>
    <row r="1652" spans="3:3" s="181" customFormat="1" hidden="1" x14ac:dyDescent="0.2">
      <c r="C1652" s="180"/>
    </row>
    <row r="1653" spans="3:3" s="181" customFormat="1" hidden="1" x14ac:dyDescent="0.2">
      <c r="C1653" s="180"/>
    </row>
    <row r="1654" spans="3:3" s="181" customFormat="1" hidden="1" x14ac:dyDescent="0.2">
      <c r="C1654" s="180"/>
    </row>
    <row r="1655" spans="3:3" s="181" customFormat="1" hidden="1" x14ac:dyDescent="0.2">
      <c r="C1655" s="180"/>
    </row>
    <row r="1656" spans="3:3" s="181" customFormat="1" hidden="1" x14ac:dyDescent="0.2">
      <c r="C1656" s="180"/>
    </row>
    <row r="1657" spans="3:3" s="181" customFormat="1" hidden="1" x14ac:dyDescent="0.2">
      <c r="C1657" s="180"/>
    </row>
    <row r="1658" spans="3:3" s="181" customFormat="1" hidden="1" x14ac:dyDescent="0.2">
      <c r="C1658" s="180"/>
    </row>
    <row r="1659" spans="3:3" s="181" customFormat="1" hidden="1" x14ac:dyDescent="0.2">
      <c r="C1659" s="180"/>
    </row>
    <row r="1660" spans="3:3" s="181" customFormat="1" hidden="1" x14ac:dyDescent="0.2">
      <c r="C1660" s="180"/>
    </row>
    <row r="1661" spans="3:3" s="181" customFormat="1" hidden="1" x14ac:dyDescent="0.2">
      <c r="C1661" s="180"/>
    </row>
    <row r="1662" spans="3:3" s="181" customFormat="1" hidden="1" x14ac:dyDescent="0.2">
      <c r="C1662" s="180"/>
    </row>
    <row r="1663" spans="3:3" s="181" customFormat="1" hidden="1" x14ac:dyDescent="0.2">
      <c r="C1663" s="180"/>
    </row>
    <row r="1664" spans="3:3" s="181" customFormat="1" hidden="1" x14ac:dyDescent="0.2">
      <c r="C1664" s="180"/>
    </row>
    <row r="1665" spans="3:3" s="181" customFormat="1" hidden="1" x14ac:dyDescent="0.2">
      <c r="C1665" s="180"/>
    </row>
    <row r="1666" spans="3:3" s="181" customFormat="1" hidden="1" x14ac:dyDescent="0.2">
      <c r="C1666" s="180"/>
    </row>
    <row r="1667" spans="3:3" s="181" customFormat="1" hidden="1" x14ac:dyDescent="0.2">
      <c r="C1667" s="180"/>
    </row>
    <row r="1668" spans="3:3" s="181" customFormat="1" hidden="1" x14ac:dyDescent="0.2">
      <c r="C1668" s="180"/>
    </row>
    <row r="1669" spans="3:3" s="181" customFormat="1" hidden="1" x14ac:dyDescent="0.2">
      <c r="C1669" s="180"/>
    </row>
    <row r="1670" spans="3:3" s="181" customFormat="1" hidden="1" x14ac:dyDescent="0.2">
      <c r="C1670" s="180"/>
    </row>
    <row r="1671" spans="3:3" s="181" customFormat="1" hidden="1" x14ac:dyDescent="0.2">
      <c r="C1671" s="180"/>
    </row>
    <row r="1672" spans="3:3" s="181" customFormat="1" hidden="1" x14ac:dyDescent="0.2">
      <c r="C1672" s="180"/>
    </row>
    <row r="1673" spans="3:3" s="181" customFormat="1" hidden="1" x14ac:dyDescent="0.2">
      <c r="C1673" s="180"/>
    </row>
    <row r="1674" spans="3:3" s="181" customFormat="1" hidden="1" x14ac:dyDescent="0.2">
      <c r="C1674" s="180"/>
    </row>
    <row r="1675" spans="3:3" s="181" customFormat="1" hidden="1" x14ac:dyDescent="0.2">
      <c r="C1675" s="180"/>
    </row>
    <row r="1676" spans="3:3" s="181" customFormat="1" hidden="1" x14ac:dyDescent="0.2">
      <c r="C1676" s="180"/>
    </row>
    <row r="1677" spans="3:3" s="181" customFormat="1" hidden="1" x14ac:dyDescent="0.2">
      <c r="C1677" s="180"/>
    </row>
    <row r="1678" spans="3:3" s="181" customFormat="1" hidden="1" x14ac:dyDescent="0.2">
      <c r="C1678" s="180"/>
    </row>
    <row r="1679" spans="3:3" s="181" customFormat="1" hidden="1" x14ac:dyDescent="0.2">
      <c r="C1679" s="180"/>
    </row>
    <row r="1680" spans="3:3" s="181" customFormat="1" hidden="1" x14ac:dyDescent="0.2">
      <c r="C1680" s="180"/>
    </row>
    <row r="1681" spans="3:3" s="181" customFormat="1" hidden="1" x14ac:dyDescent="0.2">
      <c r="C1681" s="180"/>
    </row>
    <row r="1682" spans="3:3" s="181" customFormat="1" hidden="1" x14ac:dyDescent="0.2">
      <c r="C1682" s="180"/>
    </row>
    <row r="1683" spans="3:3" s="181" customFormat="1" hidden="1" x14ac:dyDescent="0.2">
      <c r="C1683" s="180"/>
    </row>
    <row r="1684" spans="3:3" s="181" customFormat="1" hidden="1" x14ac:dyDescent="0.2">
      <c r="C1684" s="180"/>
    </row>
    <row r="1685" spans="3:3" s="181" customFormat="1" hidden="1" x14ac:dyDescent="0.2">
      <c r="C1685" s="180"/>
    </row>
    <row r="1686" spans="3:3" s="181" customFormat="1" hidden="1" x14ac:dyDescent="0.2">
      <c r="C1686" s="180"/>
    </row>
    <row r="1687" spans="3:3" s="181" customFormat="1" hidden="1" x14ac:dyDescent="0.2">
      <c r="C1687" s="180"/>
    </row>
    <row r="1688" spans="3:3" s="181" customFormat="1" hidden="1" x14ac:dyDescent="0.2">
      <c r="C1688" s="180"/>
    </row>
    <row r="1689" spans="3:3" s="181" customFormat="1" hidden="1" x14ac:dyDescent="0.2">
      <c r="C1689" s="180"/>
    </row>
    <row r="1690" spans="3:3" s="181" customFormat="1" hidden="1" x14ac:dyDescent="0.2">
      <c r="C1690" s="180"/>
    </row>
    <row r="1691" spans="3:3" s="181" customFormat="1" hidden="1" x14ac:dyDescent="0.2">
      <c r="C1691" s="180"/>
    </row>
    <row r="1692" spans="3:3" s="181" customFormat="1" hidden="1" x14ac:dyDescent="0.2">
      <c r="C1692" s="180"/>
    </row>
    <row r="1693" spans="3:3" s="181" customFormat="1" hidden="1" x14ac:dyDescent="0.2">
      <c r="C1693" s="180"/>
    </row>
    <row r="1694" spans="3:3" s="181" customFormat="1" hidden="1" x14ac:dyDescent="0.2">
      <c r="C1694" s="180"/>
    </row>
    <row r="1695" spans="3:3" s="181" customFormat="1" hidden="1" x14ac:dyDescent="0.2">
      <c r="C1695" s="180"/>
    </row>
    <row r="1696" spans="3:3" s="181" customFormat="1" hidden="1" x14ac:dyDescent="0.2">
      <c r="C1696" s="180"/>
    </row>
    <row r="1697" spans="3:3" s="181" customFormat="1" hidden="1" x14ac:dyDescent="0.2">
      <c r="C1697" s="180"/>
    </row>
    <row r="1698" spans="3:3" s="181" customFormat="1" hidden="1" x14ac:dyDescent="0.2">
      <c r="C1698" s="180"/>
    </row>
    <row r="1699" spans="3:3" s="181" customFormat="1" hidden="1" x14ac:dyDescent="0.2">
      <c r="C1699" s="180"/>
    </row>
    <row r="1700" spans="3:3" s="181" customFormat="1" hidden="1" x14ac:dyDescent="0.2">
      <c r="C1700" s="180"/>
    </row>
    <row r="1701" spans="3:3" s="181" customFormat="1" hidden="1" x14ac:dyDescent="0.2">
      <c r="C1701" s="180"/>
    </row>
    <row r="1702" spans="3:3" s="181" customFormat="1" hidden="1" x14ac:dyDescent="0.2">
      <c r="C1702" s="180"/>
    </row>
    <row r="1703" spans="3:3" s="181" customFormat="1" hidden="1" x14ac:dyDescent="0.2">
      <c r="C1703" s="180"/>
    </row>
    <row r="1704" spans="3:3" s="181" customFormat="1" hidden="1" x14ac:dyDescent="0.2">
      <c r="C1704" s="180"/>
    </row>
    <row r="1705" spans="3:3" s="181" customFormat="1" hidden="1" x14ac:dyDescent="0.2">
      <c r="C1705" s="180"/>
    </row>
    <row r="1706" spans="3:3" s="181" customFormat="1" hidden="1" x14ac:dyDescent="0.2">
      <c r="C1706" s="180"/>
    </row>
    <row r="1707" spans="3:3" s="181" customFormat="1" hidden="1" x14ac:dyDescent="0.2">
      <c r="C1707" s="180"/>
    </row>
    <row r="1708" spans="3:3" s="181" customFormat="1" hidden="1" x14ac:dyDescent="0.2">
      <c r="C1708" s="180"/>
    </row>
    <row r="1709" spans="3:3" s="181" customFormat="1" hidden="1" x14ac:dyDescent="0.2">
      <c r="C1709" s="180"/>
    </row>
    <row r="1710" spans="3:3" s="181" customFormat="1" hidden="1" x14ac:dyDescent="0.2">
      <c r="C1710" s="180"/>
    </row>
    <row r="1711" spans="3:3" s="181" customFormat="1" hidden="1" x14ac:dyDescent="0.2">
      <c r="C1711" s="180"/>
    </row>
    <row r="1712" spans="3:3" s="181" customFormat="1" hidden="1" x14ac:dyDescent="0.2">
      <c r="C1712" s="180"/>
    </row>
    <row r="1713" spans="3:3" s="181" customFormat="1" hidden="1" x14ac:dyDescent="0.2">
      <c r="C1713" s="180"/>
    </row>
    <row r="1714" spans="3:3" s="181" customFormat="1" hidden="1" x14ac:dyDescent="0.2">
      <c r="C1714" s="180"/>
    </row>
    <row r="1715" spans="3:3" s="181" customFormat="1" hidden="1" x14ac:dyDescent="0.2">
      <c r="C1715" s="180"/>
    </row>
    <row r="1716" spans="3:3" s="181" customFormat="1" hidden="1" x14ac:dyDescent="0.2">
      <c r="C1716" s="180"/>
    </row>
    <row r="1717" spans="3:3" s="181" customFormat="1" hidden="1" x14ac:dyDescent="0.2">
      <c r="C1717" s="180"/>
    </row>
    <row r="1718" spans="3:3" s="181" customFormat="1" hidden="1" x14ac:dyDescent="0.2">
      <c r="C1718" s="180"/>
    </row>
    <row r="1719" spans="3:3" s="181" customFormat="1" hidden="1" x14ac:dyDescent="0.2">
      <c r="C1719" s="180"/>
    </row>
    <row r="1720" spans="3:3" s="181" customFormat="1" hidden="1" x14ac:dyDescent="0.2">
      <c r="C1720" s="180"/>
    </row>
    <row r="1721" spans="3:3" s="181" customFormat="1" hidden="1" x14ac:dyDescent="0.2">
      <c r="C1721" s="180"/>
    </row>
    <row r="1722" spans="3:3" s="181" customFormat="1" hidden="1" x14ac:dyDescent="0.2">
      <c r="C1722" s="180"/>
    </row>
    <row r="1723" spans="3:3" s="181" customFormat="1" hidden="1" x14ac:dyDescent="0.2">
      <c r="C1723" s="180"/>
    </row>
    <row r="1724" spans="3:3" s="181" customFormat="1" hidden="1" x14ac:dyDescent="0.2">
      <c r="C1724" s="180"/>
    </row>
    <row r="1725" spans="3:3" s="181" customFormat="1" hidden="1" x14ac:dyDescent="0.2">
      <c r="C1725" s="180"/>
    </row>
    <row r="1726" spans="3:3" s="181" customFormat="1" hidden="1" x14ac:dyDescent="0.2">
      <c r="C1726" s="180"/>
    </row>
    <row r="1727" spans="3:3" s="181" customFormat="1" hidden="1" x14ac:dyDescent="0.2">
      <c r="C1727" s="180"/>
    </row>
    <row r="1728" spans="3:3" s="181" customFormat="1" hidden="1" x14ac:dyDescent="0.2">
      <c r="C1728" s="180"/>
    </row>
    <row r="1729" spans="3:3" s="181" customFormat="1" hidden="1" x14ac:dyDescent="0.2">
      <c r="C1729" s="180"/>
    </row>
    <row r="1730" spans="3:3" s="181" customFormat="1" hidden="1" x14ac:dyDescent="0.2">
      <c r="C1730" s="180"/>
    </row>
    <row r="1731" spans="3:3" s="181" customFormat="1" hidden="1" x14ac:dyDescent="0.2">
      <c r="C1731" s="180"/>
    </row>
    <row r="1732" spans="3:3" s="181" customFormat="1" hidden="1" x14ac:dyDescent="0.2">
      <c r="C1732" s="180"/>
    </row>
    <row r="1733" spans="3:3" s="181" customFormat="1" hidden="1" x14ac:dyDescent="0.2">
      <c r="C1733" s="180"/>
    </row>
    <row r="1734" spans="3:3" s="181" customFormat="1" hidden="1" x14ac:dyDescent="0.2">
      <c r="C1734" s="180"/>
    </row>
    <row r="1735" spans="3:3" s="181" customFormat="1" hidden="1" x14ac:dyDescent="0.2">
      <c r="C1735" s="180"/>
    </row>
    <row r="1736" spans="3:3" s="181" customFormat="1" hidden="1" x14ac:dyDescent="0.2">
      <c r="C1736" s="180"/>
    </row>
    <row r="1737" spans="3:3" s="181" customFormat="1" hidden="1" x14ac:dyDescent="0.2">
      <c r="C1737" s="180"/>
    </row>
    <row r="1738" spans="3:3" s="181" customFormat="1" hidden="1" x14ac:dyDescent="0.2">
      <c r="C1738" s="180"/>
    </row>
    <row r="1739" spans="3:3" s="181" customFormat="1" hidden="1" x14ac:dyDescent="0.2">
      <c r="C1739" s="180"/>
    </row>
    <row r="1740" spans="3:3" s="181" customFormat="1" hidden="1" x14ac:dyDescent="0.2">
      <c r="C1740" s="180"/>
    </row>
    <row r="1741" spans="3:3" s="181" customFormat="1" hidden="1" x14ac:dyDescent="0.2">
      <c r="C1741" s="180"/>
    </row>
    <row r="1742" spans="3:3" s="181" customFormat="1" hidden="1" x14ac:dyDescent="0.2">
      <c r="C1742" s="180"/>
    </row>
    <row r="1743" spans="3:3" s="181" customFormat="1" hidden="1" x14ac:dyDescent="0.2">
      <c r="C1743" s="180"/>
    </row>
    <row r="1744" spans="3:3" s="181" customFormat="1" hidden="1" x14ac:dyDescent="0.2">
      <c r="C1744" s="180"/>
    </row>
    <row r="1745" spans="3:3" s="181" customFormat="1" hidden="1" x14ac:dyDescent="0.2">
      <c r="C1745" s="180"/>
    </row>
    <row r="1746" spans="3:3" s="181" customFormat="1" hidden="1" x14ac:dyDescent="0.2">
      <c r="C1746" s="180"/>
    </row>
    <row r="1747" spans="3:3" s="181" customFormat="1" hidden="1" x14ac:dyDescent="0.2">
      <c r="C1747" s="180"/>
    </row>
    <row r="1748" spans="3:3" s="181" customFormat="1" hidden="1" x14ac:dyDescent="0.2">
      <c r="C1748" s="180"/>
    </row>
    <row r="1749" spans="3:3" s="181" customFormat="1" hidden="1" x14ac:dyDescent="0.2">
      <c r="C1749" s="180"/>
    </row>
    <row r="1750" spans="3:3" s="181" customFormat="1" hidden="1" x14ac:dyDescent="0.2">
      <c r="C1750" s="180"/>
    </row>
    <row r="1751" spans="3:3" s="181" customFormat="1" hidden="1" x14ac:dyDescent="0.2">
      <c r="C1751" s="180"/>
    </row>
    <row r="1752" spans="3:3" s="181" customFormat="1" hidden="1" x14ac:dyDescent="0.2">
      <c r="C1752" s="180"/>
    </row>
    <row r="1753" spans="3:3" s="181" customFormat="1" hidden="1" x14ac:dyDescent="0.2">
      <c r="C1753" s="180"/>
    </row>
    <row r="1754" spans="3:3" s="181" customFormat="1" hidden="1" x14ac:dyDescent="0.2">
      <c r="C1754" s="180"/>
    </row>
    <row r="1755" spans="3:3" s="181" customFormat="1" hidden="1" x14ac:dyDescent="0.2">
      <c r="C1755" s="180"/>
    </row>
    <row r="1756" spans="3:3" s="181" customFormat="1" hidden="1" x14ac:dyDescent="0.2">
      <c r="C1756" s="180"/>
    </row>
    <row r="1757" spans="3:3" s="181" customFormat="1" hidden="1" x14ac:dyDescent="0.2">
      <c r="C1757" s="180"/>
    </row>
    <row r="1758" spans="3:3" s="181" customFormat="1" hidden="1" x14ac:dyDescent="0.2">
      <c r="C1758" s="180"/>
    </row>
    <row r="1759" spans="3:3" s="181" customFormat="1" hidden="1" x14ac:dyDescent="0.2">
      <c r="C1759" s="180"/>
    </row>
    <row r="1760" spans="3:3" s="181" customFormat="1" hidden="1" x14ac:dyDescent="0.2">
      <c r="C1760" s="180"/>
    </row>
    <row r="1761" spans="3:3" s="181" customFormat="1" hidden="1" x14ac:dyDescent="0.2">
      <c r="C1761" s="180"/>
    </row>
    <row r="1762" spans="3:3" s="181" customFormat="1" hidden="1" x14ac:dyDescent="0.2">
      <c r="C1762" s="180"/>
    </row>
    <row r="1763" spans="3:3" s="181" customFormat="1" hidden="1" x14ac:dyDescent="0.2">
      <c r="C1763" s="180"/>
    </row>
    <row r="1764" spans="3:3" s="181" customFormat="1" hidden="1" x14ac:dyDescent="0.2">
      <c r="C1764" s="180"/>
    </row>
    <row r="1765" spans="3:3" s="181" customFormat="1" hidden="1" x14ac:dyDescent="0.2">
      <c r="C1765" s="180"/>
    </row>
    <row r="1766" spans="3:3" s="181" customFormat="1" hidden="1" x14ac:dyDescent="0.2">
      <c r="C1766" s="180"/>
    </row>
    <row r="1767" spans="3:3" s="181" customFormat="1" hidden="1" x14ac:dyDescent="0.2">
      <c r="C1767" s="180"/>
    </row>
    <row r="1768" spans="3:3" s="181" customFormat="1" hidden="1" x14ac:dyDescent="0.2">
      <c r="C1768" s="180"/>
    </row>
    <row r="1769" spans="3:3" s="181" customFormat="1" hidden="1" x14ac:dyDescent="0.2">
      <c r="C1769" s="180"/>
    </row>
    <row r="1770" spans="3:3" s="181" customFormat="1" hidden="1" x14ac:dyDescent="0.2">
      <c r="C1770" s="180"/>
    </row>
    <row r="1771" spans="3:3" s="181" customFormat="1" hidden="1" x14ac:dyDescent="0.2">
      <c r="C1771" s="180"/>
    </row>
    <row r="1772" spans="3:3" s="181" customFormat="1" hidden="1" x14ac:dyDescent="0.2">
      <c r="C1772" s="180"/>
    </row>
    <row r="1773" spans="3:3" s="181" customFormat="1" hidden="1" x14ac:dyDescent="0.2">
      <c r="C1773" s="180"/>
    </row>
    <row r="1774" spans="3:3" s="181" customFormat="1" hidden="1" x14ac:dyDescent="0.2">
      <c r="C1774" s="180"/>
    </row>
    <row r="1775" spans="3:3" s="181" customFormat="1" hidden="1" x14ac:dyDescent="0.2">
      <c r="C1775" s="180"/>
    </row>
    <row r="1776" spans="3:3" s="181" customFormat="1" hidden="1" x14ac:dyDescent="0.2">
      <c r="C1776" s="180"/>
    </row>
    <row r="1777" spans="3:3" s="181" customFormat="1" hidden="1" x14ac:dyDescent="0.2">
      <c r="C1777" s="180"/>
    </row>
    <row r="1778" spans="3:3" s="181" customFormat="1" hidden="1" x14ac:dyDescent="0.2">
      <c r="C1778" s="180"/>
    </row>
    <row r="1779" spans="3:3" s="181" customFormat="1" hidden="1" x14ac:dyDescent="0.2">
      <c r="C1779" s="180"/>
    </row>
    <row r="1780" spans="3:3" s="181" customFormat="1" hidden="1" x14ac:dyDescent="0.2">
      <c r="C1780" s="180"/>
    </row>
    <row r="1781" spans="3:3" s="181" customFormat="1" hidden="1" x14ac:dyDescent="0.2">
      <c r="C1781" s="180"/>
    </row>
    <row r="1782" spans="3:3" s="181" customFormat="1" hidden="1" x14ac:dyDescent="0.2">
      <c r="C1782" s="180"/>
    </row>
    <row r="1783" spans="3:3" s="181" customFormat="1" hidden="1" x14ac:dyDescent="0.2">
      <c r="C1783" s="180"/>
    </row>
    <row r="1784" spans="3:3" s="181" customFormat="1" hidden="1" x14ac:dyDescent="0.2">
      <c r="C1784" s="180"/>
    </row>
    <row r="1785" spans="3:3" s="181" customFormat="1" hidden="1" x14ac:dyDescent="0.2">
      <c r="C1785" s="180"/>
    </row>
    <row r="1786" spans="3:3" s="181" customFormat="1" hidden="1" x14ac:dyDescent="0.2">
      <c r="C1786" s="180"/>
    </row>
    <row r="1787" spans="3:3" s="181" customFormat="1" hidden="1" x14ac:dyDescent="0.2">
      <c r="C1787" s="180"/>
    </row>
    <row r="1788" spans="3:3" s="181" customFormat="1" hidden="1" x14ac:dyDescent="0.2">
      <c r="C1788" s="180"/>
    </row>
    <row r="1789" spans="3:3" s="181" customFormat="1" hidden="1" x14ac:dyDescent="0.2">
      <c r="C1789" s="180"/>
    </row>
    <row r="1790" spans="3:3" s="181" customFormat="1" hidden="1" x14ac:dyDescent="0.2">
      <c r="C1790" s="180"/>
    </row>
    <row r="1791" spans="3:3" s="181" customFormat="1" hidden="1" x14ac:dyDescent="0.2">
      <c r="C1791" s="180"/>
    </row>
    <row r="1792" spans="3:3" s="181" customFormat="1" hidden="1" x14ac:dyDescent="0.2">
      <c r="C1792" s="180"/>
    </row>
    <row r="1793" spans="3:3" s="181" customFormat="1" hidden="1" x14ac:dyDescent="0.2">
      <c r="C1793" s="180"/>
    </row>
    <row r="1794" spans="3:3" s="181" customFormat="1" hidden="1" x14ac:dyDescent="0.2">
      <c r="C1794" s="180"/>
    </row>
    <row r="1795" spans="3:3" s="181" customFormat="1" hidden="1" x14ac:dyDescent="0.2">
      <c r="C1795" s="180"/>
    </row>
    <row r="1796" spans="3:3" s="181" customFormat="1" hidden="1" x14ac:dyDescent="0.2">
      <c r="C1796" s="180"/>
    </row>
    <row r="1797" spans="3:3" s="181" customFormat="1" hidden="1" x14ac:dyDescent="0.2">
      <c r="C1797" s="180"/>
    </row>
    <row r="1798" spans="3:3" s="181" customFormat="1" hidden="1" x14ac:dyDescent="0.2">
      <c r="C1798" s="180"/>
    </row>
    <row r="1799" spans="3:3" s="181" customFormat="1" hidden="1" x14ac:dyDescent="0.2">
      <c r="C1799" s="180"/>
    </row>
    <row r="1800" spans="3:3" s="181" customFormat="1" hidden="1" x14ac:dyDescent="0.2">
      <c r="C1800" s="180"/>
    </row>
    <row r="1801" spans="3:3" s="181" customFormat="1" hidden="1" x14ac:dyDescent="0.2">
      <c r="C1801" s="180"/>
    </row>
    <row r="1802" spans="3:3" s="181" customFormat="1" hidden="1" x14ac:dyDescent="0.2">
      <c r="C1802" s="180"/>
    </row>
    <row r="1803" spans="3:3" s="181" customFormat="1" hidden="1" x14ac:dyDescent="0.2">
      <c r="C1803" s="180"/>
    </row>
    <row r="1804" spans="3:3" s="181" customFormat="1" hidden="1" x14ac:dyDescent="0.2">
      <c r="C1804" s="180"/>
    </row>
    <row r="1805" spans="3:3" s="181" customFormat="1" hidden="1" x14ac:dyDescent="0.2">
      <c r="C1805" s="180"/>
    </row>
    <row r="1806" spans="3:3" s="181" customFormat="1" hidden="1" x14ac:dyDescent="0.2">
      <c r="C1806" s="180"/>
    </row>
    <row r="1807" spans="3:3" s="181" customFormat="1" hidden="1" x14ac:dyDescent="0.2">
      <c r="C1807" s="180"/>
    </row>
    <row r="1808" spans="3:3" s="181" customFormat="1" hidden="1" x14ac:dyDescent="0.2">
      <c r="C1808" s="180"/>
    </row>
    <row r="1809" spans="3:3" s="181" customFormat="1" hidden="1" x14ac:dyDescent="0.2">
      <c r="C1809" s="180"/>
    </row>
    <row r="1810" spans="3:3" s="181" customFormat="1" hidden="1" x14ac:dyDescent="0.2">
      <c r="C1810" s="180"/>
    </row>
    <row r="1811" spans="3:3" s="181" customFormat="1" hidden="1" x14ac:dyDescent="0.2">
      <c r="C1811" s="180"/>
    </row>
    <row r="1812" spans="3:3" s="181" customFormat="1" hidden="1" x14ac:dyDescent="0.2">
      <c r="C1812" s="180"/>
    </row>
    <row r="1813" spans="3:3" s="181" customFormat="1" hidden="1" x14ac:dyDescent="0.2">
      <c r="C1813" s="180"/>
    </row>
    <row r="1814" spans="3:3" s="181" customFormat="1" hidden="1" x14ac:dyDescent="0.2">
      <c r="C1814" s="180"/>
    </row>
    <row r="1815" spans="3:3" s="181" customFormat="1" hidden="1" x14ac:dyDescent="0.2">
      <c r="C1815" s="180"/>
    </row>
    <row r="1816" spans="3:3" s="181" customFormat="1" hidden="1" x14ac:dyDescent="0.2">
      <c r="C1816" s="180"/>
    </row>
    <row r="1817" spans="3:3" s="181" customFormat="1" hidden="1" x14ac:dyDescent="0.2">
      <c r="C1817" s="180"/>
    </row>
    <row r="1818" spans="3:3" s="181" customFormat="1" hidden="1" x14ac:dyDescent="0.2">
      <c r="C1818" s="180"/>
    </row>
    <row r="1819" spans="3:3" s="181" customFormat="1" hidden="1" x14ac:dyDescent="0.2">
      <c r="C1819" s="180"/>
    </row>
    <row r="1820" spans="3:3" s="181" customFormat="1" hidden="1" x14ac:dyDescent="0.2">
      <c r="C1820" s="180"/>
    </row>
    <row r="1821" spans="3:3" s="181" customFormat="1" hidden="1" x14ac:dyDescent="0.2">
      <c r="C1821" s="180"/>
    </row>
    <row r="1822" spans="3:3" s="181" customFormat="1" hidden="1" x14ac:dyDescent="0.2">
      <c r="C1822" s="180"/>
    </row>
    <row r="1823" spans="3:3" s="181" customFormat="1" hidden="1" x14ac:dyDescent="0.2">
      <c r="C1823" s="180"/>
    </row>
    <row r="1824" spans="3:3" s="181" customFormat="1" hidden="1" x14ac:dyDescent="0.2">
      <c r="C1824" s="180"/>
    </row>
    <row r="1825" spans="3:3" s="181" customFormat="1" hidden="1" x14ac:dyDescent="0.2">
      <c r="C1825" s="180"/>
    </row>
    <row r="1826" spans="3:3" s="181" customFormat="1" hidden="1" x14ac:dyDescent="0.2">
      <c r="C1826" s="180"/>
    </row>
    <row r="1827" spans="3:3" s="181" customFormat="1" hidden="1" x14ac:dyDescent="0.2">
      <c r="C1827" s="180"/>
    </row>
    <row r="1828" spans="3:3" s="181" customFormat="1" hidden="1" x14ac:dyDescent="0.2">
      <c r="C1828" s="180"/>
    </row>
    <row r="1829" spans="3:3" s="181" customFormat="1" hidden="1" x14ac:dyDescent="0.2">
      <c r="C1829" s="180"/>
    </row>
    <row r="1830" spans="3:3" s="181" customFormat="1" hidden="1" x14ac:dyDescent="0.2">
      <c r="C1830" s="180"/>
    </row>
    <row r="1831" spans="3:3" s="181" customFormat="1" hidden="1" x14ac:dyDescent="0.2">
      <c r="C1831" s="180"/>
    </row>
    <row r="1832" spans="3:3" s="181" customFormat="1" hidden="1" x14ac:dyDescent="0.2">
      <c r="C1832" s="180"/>
    </row>
    <row r="1833" spans="3:3" s="181" customFormat="1" hidden="1" x14ac:dyDescent="0.2">
      <c r="C1833" s="180"/>
    </row>
    <row r="1834" spans="3:3" s="181" customFormat="1" hidden="1" x14ac:dyDescent="0.2">
      <c r="C1834" s="180"/>
    </row>
    <row r="1835" spans="3:3" s="181" customFormat="1" hidden="1" x14ac:dyDescent="0.2">
      <c r="C1835" s="180"/>
    </row>
    <row r="1836" spans="3:3" s="181" customFormat="1" hidden="1" x14ac:dyDescent="0.2">
      <c r="C1836" s="180"/>
    </row>
    <row r="1837" spans="3:3" s="181" customFormat="1" hidden="1" x14ac:dyDescent="0.2">
      <c r="C1837" s="180"/>
    </row>
    <row r="1838" spans="3:3" s="181" customFormat="1" hidden="1" x14ac:dyDescent="0.2">
      <c r="C1838" s="180"/>
    </row>
    <row r="1839" spans="3:3" s="181" customFormat="1" hidden="1" x14ac:dyDescent="0.2">
      <c r="C1839" s="180"/>
    </row>
    <row r="1840" spans="3:3" s="181" customFormat="1" hidden="1" x14ac:dyDescent="0.2">
      <c r="C1840" s="180"/>
    </row>
    <row r="1841" spans="3:3" s="181" customFormat="1" hidden="1" x14ac:dyDescent="0.2">
      <c r="C1841" s="180"/>
    </row>
    <row r="1842" spans="3:3" s="181" customFormat="1" hidden="1" x14ac:dyDescent="0.2">
      <c r="C1842" s="180"/>
    </row>
    <row r="1843" spans="3:3" s="181" customFormat="1" hidden="1" x14ac:dyDescent="0.2">
      <c r="C1843" s="180"/>
    </row>
    <row r="1844" spans="3:3" s="181" customFormat="1" hidden="1" x14ac:dyDescent="0.2">
      <c r="C1844" s="180"/>
    </row>
    <row r="1845" spans="3:3" s="181" customFormat="1" hidden="1" x14ac:dyDescent="0.2">
      <c r="C1845" s="180"/>
    </row>
    <row r="1846" spans="3:3" s="181" customFormat="1" hidden="1" x14ac:dyDescent="0.2">
      <c r="C1846" s="180"/>
    </row>
    <row r="1847" spans="3:3" s="181" customFormat="1" hidden="1" x14ac:dyDescent="0.2">
      <c r="C1847" s="180"/>
    </row>
    <row r="1848" spans="3:3" s="181" customFormat="1" hidden="1" x14ac:dyDescent="0.2">
      <c r="C1848" s="180"/>
    </row>
    <row r="1849" spans="3:3" s="181" customFormat="1" hidden="1" x14ac:dyDescent="0.2">
      <c r="C1849" s="180"/>
    </row>
    <row r="1850" spans="3:3" s="181" customFormat="1" hidden="1" x14ac:dyDescent="0.2">
      <c r="C1850" s="180"/>
    </row>
    <row r="1851" spans="3:3" s="181" customFormat="1" hidden="1" x14ac:dyDescent="0.2">
      <c r="C1851" s="180"/>
    </row>
    <row r="1852" spans="3:3" s="181" customFormat="1" hidden="1" x14ac:dyDescent="0.2">
      <c r="C1852" s="180"/>
    </row>
    <row r="1853" spans="3:3" s="181" customFormat="1" hidden="1" x14ac:dyDescent="0.2">
      <c r="C1853" s="180"/>
    </row>
    <row r="1854" spans="3:3" s="181" customFormat="1" hidden="1" x14ac:dyDescent="0.2">
      <c r="C1854" s="180"/>
    </row>
    <row r="1855" spans="3:3" s="181" customFormat="1" hidden="1" x14ac:dyDescent="0.2">
      <c r="C1855" s="180"/>
    </row>
    <row r="1856" spans="3:3" s="181" customFormat="1" hidden="1" x14ac:dyDescent="0.2">
      <c r="C1856" s="180"/>
    </row>
    <row r="1857" spans="3:3" s="181" customFormat="1" hidden="1" x14ac:dyDescent="0.2">
      <c r="C1857" s="180"/>
    </row>
    <row r="1858" spans="3:3" s="181" customFormat="1" hidden="1" x14ac:dyDescent="0.2">
      <c r="C1858" s="180"/>
    </row>
    <row r="1859" spans="3:3" s="181" customFormat="1" hidden="1" x14ac:dyDescent="0.2">
      <c r="C1859" s="180"/>
    </row>
    <row r="1860" spans="3:3" s="181" customFormat="1" hidden="1" x14ac:dyDescent="0.2">
      <c r="C1860" s="180"/>
    </row>
    <row r="1861" spans="3:3" s="181" customFormat="1" hidden="1" x14ac:dyDescent="0.2">
      <c r="C1861" s="180"/>
    </row>
    <row r="1862" spans="3:3" s="181" customFormat="1" hidden="1" x14ac:dyDescent="0.2">
      <c r="C1862" s="180"/>
    </row>
    <row r="1863" spans="3:3" s="181" customFormat="1" hidden="1" x14ac:dyDescent="0.2">
      <c r="C1863" s="180"/>
    </row>
    <row r="1864" spans="3:3" s="181" customFormat="1" hidden="1" x14ac:dyDescent="0.2">
      <c r="C1864" s="180"/>
    </row>
    <row r="1865" spans="3:3" s="181" customFormat="1" hidden="1" x14ac:dyDescent="0.2">
      <c r="C1865" s="180"/>
    </row>
    <row r="1866" spans="3:3" s="181" customFormat="1" hidden="1" x14ac:dyDescent="0.2">
      <c r="C1866" s="180"/>
    </row>
    <row r="1867" spans="3:3" s="181" customFormat="1" hidden="1" x14ac:dyDescent="0.2">
      <c r="C1867" s="180"/>
    </row>
    <row r="1868" spans="3:3" s="181" customFormat="1" hidden="1" x14ac:dyDescent="0.2">
      <c r="C1868" s="180"/>
    </row>
    <row r="1869" spans="3:3" s="181" customFormat="1" hidden="1" x14ac:dyDescent="0.2">
      <c r="C1869" s="180"/>
    </row>
    <row r="1870" spans="3:3" s="181" customFormat="1" hidden="1" x14ac:dyDescent="0.2">
      <c r="C1870" s="180"/>
    </row>
    <row r="1871" spans="3:3" s="181" customFormat="1" hidden="1" x14ac:dyDescent="0.2">
      <c r="C1871" s="180"/>
    </row>
    <row r="1872" spans="3:3" s="181" customFormat="1" hidden="1" x14ac:dyDescent="0.2">
      <c r="C1872" s="180"/>
    </row>
    <row r="1873" spans="3:3" s="181" customFormat="1" hidden="1" x14ac:dyDescent="0.2">
      <c r="C1873" s="180"/>
    </row>
    <row r="1874" spans="3:3" s="181" customFormat="1" hidden="1" x14ac:dyDescent="0.2">
      <c r="C1874" s="180"/>
    </row>
    <row r="1875" spans="3:3" s="181" customFormat="1" hidden="1" x14ac:dyDescent="0.2">
      <c r="C1875" s="180"/>
    </row>
    <row r="1876" spans="3:3" s="181" customFormat="1" hidden="1" x14ac:dyDescent="0.2">
      <c r="C1876" s="180"/>
    </row>
    <row r="1877" spans="3:3" s="181" customFormat="1" hidden="1" x14ac:dyDescent="0.2">
      <c r="C1877" s="180"/>
    </row>
    <row r="1878" spans="3:3" s="181" customFormat="1" hidden="1" x14ac:dyDescent="0.2">
      <c r="C1878" s="180"/>
    </row>
    <row r="1879" spans="3:3" s="181" customFormat="1" hidden="1" x14ac:dyDescent="0.2">
      <c r="C1879" s="180"/>
    </row>
    <row r="1880" spans="3:3" s="181" customFormat="1" hidden="1" x14ac:dyDescent="0.2">
      <c r="C1880" s="180"/>
    </row>
    <row r="1881" spans="3:3" s="181" customFormat="1" hidden="1" x14ac:dyDescent="0.2">
      <c r="C1881" s="180"/>
    </row>
    <row r="1882" spans="3:3" s="181" customFormat="1" hidden="1" x14ac:dyDescent="0.2">
      <c r="C1882" s="180"/>
    </row>
    <row r="1883" spans="3:3" s="181" customFormat="1" hidden="1" x14ac:dyDescent="0.2">
      <c r="C1883" s="180"/>
    </row>
    <row r="1884" spans="3:3" s="181" customFormat="1" hidden="1" x14ac:dyDescent="0.2">
      <c r="C1884" s="180"/>
    </row>
    <row r="1885" spans="3:3" s="181" customFormat="1" hidden="1" x14ac:dyDescent="0.2">
      <c r="C1885" s="180"/>
    </row>
    <row r="1886" spans="3:3" s="181" customFormat="1" hidden="1" x14ac:dyDescent="0.2">
      <c r="C1886" s="180"/>
    </row>
    <row r="1887" spans="3:3" s="181" customFormat="1" hidden="1" x14ac:dyDescent="0.2">
      <c r="C1887" s="180"/>
    </row>
    <row r="1888" spans="3:3" s="181" customFormat="1" hidden="1" x14ac:dyDescent="0.2">
      <c r="C1888" s="180"/>
    </row>
    <row r="1889" spans="3:3" s="181" customFormat="1" hidden="1" x14ac:dyDescent="0.2">
      <c r="C1889" s="180"/>
    </row>
    <row r="1890" spans="3:3" s="181" customFormat="1" hidden="1" x14ac:dyDescent="0.2">
      <c r="C1890" s="180"/>
    </row>
    <row r="1891" spans="3:3" s="181" customFormat="1" hidden="1" x14ac:dyDescent="0.2">
      <c r="C1891" s="180"/>
    </row>
    <row r="1892" spans="3:3" s="181" customFormat="1" hidden="1" x14ac:dyDescent="0.2">
      <c r="C1892" s="180"/>
    </row>
    <row r="1893" spans="3:3" s="181" customFormat="1" hidden="1" x14ac:dyDescent="0.2">
      <c r="C1893" s="180"/>
    </row>
    <row r="1894" spans="3:3" s="181" customFormat="1" hidden="1" x14ac:dyDescent="0.2">
      <c r="C1894" s="180"/>
    </row>
    <row r="1895" spans="3:3" s="181" customFormat="1" hidden="1" x14ac:dyDescent="0.2">
      <c r="C1895" s="180"/>
    </row>
    <row r="1896" spans="3:3" s="181" customFormat="1" hidden="1" x14ac:dyDescent="0.2">
      <c r="C1896" s="180"/>
    </row>
    <row r="1897" spans="3:3" s="181" customFormat="1" hidden="1" x14ac:dyDescent="0.2">
      <c r="C1897" s="180"/>
    </row>
    <row r="1898" spans="3:3" s="181" customFormat="1" hidden="1" x14ac:dyDescent="0.2">
      <c r="C1898" s="180"/>
    </row>
    <row r="1899" spans="3:3" s="181" customFormat="1" hidden="1" x14ac:dyDescent="0.2">
      <c r="C1899" s="180"/>
    </row>
    <row r="1900" spans="3:3" s="181" customFormat="1" hidden="1" x14ac:dyDescent="0.2">
      <c r="C1900" s="180"/>
    </row>
    <row r="1901" spans="3:3" s="181" customFormat="1" hidden="1" x14ac:dyDescent="0.2">
      <c r="C1901" s="180"/>
    </row>
    <row r="1902" spans="3:3" s="181" customFormat="1" hidden="1" x14ac:dyDescent="0.2">
      <c r="C1902" s="180"/>
    </row>
    <row r="1903" spans="3:3" s="181" customFormat="1" hidden="1" x14ac:dyDescent="0.2">
      <c r="C1903" s="180"/>
    </row>
    <row r="1904" spans="3:3" s="181" customFormat="1" hidden="1" x14ac:dyDescent="0.2">
      <c r="C1904" s="180"/>
    </row>
    <row r="1905" spans="3:3" s="181" customFormat="1" hidden="1" x14ac:dyDescent="0.2">
      <c r="C1905" s="180"/>
    </row>
    <row r="1906" spans="3:3" s="181" customFormat="1" hidden="1" x14ac:dyDescent="0.2">
      <c r="C1906" s="180"/>
    </row>
    <row r="1907" spans="3:3" s="181" customFormat="1" hidden="1" x14ac:dyDescent="0.2">
      <c r="C1907" s="180"/>
    </row>
    <row r="1908" spans="3:3" s="181" customFormat="1" hidden="1" x14ac:dyDescent="0.2">
      <c r="C1908" s="180"/>
    </row>
    <row r="1909" spans="3:3" s="181" customFormat="1" hidden="1" x14ac:dyDescent="0.2">
      <c r="C1909" s="180"/>
    </row>
    <row r="1910" spans="3:3" s="181" customFormat="1" hidden="1" x14ac:dyDescent="0.2">
      <c r="C1910" s="180"/>
    </row>
    <row r="1911" spans="3:3" s="181" customFormat="1" hidden="1" x14ac:dyDescent="0.2">
      <c r="C1911" s="180"/>
    </row>
    <row r="1912" spans="3:3" s="181" customFormat="1" hidden="1" x14ac:dyDescent="0.2">
      <c r="C1912" s="180"/>
    </row>
    <row r="1913" spans="3:3" s="181" customFormat="1" hidden="1" x14ac:dyDescent="0.2">
      <c r="C1913" s="180"/>
    </row>
    <row r="1914" spans="3:3" s="181" customFormat="1" hidden="1" x14ac:dyDescent="0.2">
      <c r="C1914" s="180"/>
    </row>
    <row r="1915" spans="3:3" s="181" customFormat="1" hidden="1" x14ac:dyDescent="0.2">
      <c r="C1915" s="180"/>
    </row>
    <row r="1916" spans="3:3" s="181" customFormat="1" hidden="1" x14ac:dyDescent="0.2">
      <c r="C1916" s="180"/>
    </row>
    <row r="1917" spans="3:3" s="181" customFormat="1" hidden="1" x14ac:dyDescent="0.2">
      <c r="C1917" s="180"/>
    </row>
    <row r="1918" spans="3:3" s="181" customFormat="1" hidden="1" x14ac:dyDescent="0.2">
      <c r="C1918" s="180"/>
    </row>
    <row r="1919" spans="3:3" s="181" customFormat="1" hidden="1" x14ac:dyDescent="0.2">
      <c r="C1919" s="180"/>
    </row>
    <row r="1920" spans="3:3" s="181" customFormat="1" hidden="1" x14ac:dyDescent="0.2">
      <c r="C1920" s="180"/>
    </row>
    <row r="1921" spans="3:3" s="181" customFormat="1" hidden="1" x14ac:dyDescent="0.2">
      <c r="C1921" s="180"/>
    </row>
    <row r="1922" spans="3:3" s="181" customFormat="1" hidden="1" x14ac:dyDescent="0.2">
      <c r="C1922" s="180"/>
    </row>
    <row r="1923" spans="3:3" s="181" customFormat="1" hidden="1" x14ac:dyDescent="0.2">
      <c r="C1923" s="180"/>
    </row>
    <row r="1924" spans="3:3" s="181" customFormat="1" hidden="1" x14ac:dyDescent="0.2">
      <c r="C1924" s="180"/>
    </row>
    <row r="1925" spans="3:3" s="181" customFormat="1" hidden="1" x14ac:dyDescent="0.2">
      <c r="C1925" s="180"/>
    </row>
    <row r="1926" spans="3:3" s="181" customFormat="1" hidden="1" x14ac:dyDescent="0.2">
      <c r="C1926" s="180"/>
    </row>
    <row r="1927" spans="3:3" s="181" customFormat="1" hidden="1" x14ac:dyDescent="0.2">
      <c r="C1927" s="180"/>
    </row>
    <row r="1928" spans="3:3" s="181" customFormat="1" hidden="1" x14ac:dyDescent="0.2">
      <c r="C1928" s="180"/>
    </row>
    <row r="1929" spans="3:3" s="181" customFormat="1" hidden="1" x14ac:dyDescent="0.2">
      <c r="C1929" s="180"/>
    </row>
    <row r="1930" spans="3:3" s="181" customFormat="1" hidden="1" x14ac:dyDescent="0.2">
      <c r="C1930" s="180"/>
    </row>
    <row r="1931" spans="3:3" s="181" customFormat="1" hidden="1" x14ac:dyDescent="0.2">
      <c r="C1931" s="180"/>
    </row>
    <row r="1932" spans="3:3" s="181" customFormat="1" hidden="1" x14ac:dyDescent="0.2">
      <c r="C1932" s="180"/>
    </row>
    <row r="1933" spans="3:3" s="181" customFormat="1" hidden="1" x14ac:dyDescent="0.2">
      <c r="C1933" s="180"/>
    </row>
    <row r="1934" spans="3:3" s="181" customFormat="1" hidden="1" x14ac:dyDescent="0.2">
      <c r="C1934" s="180"/>
    </row>
    <row r="1935" spans="3:3" s="181" customFormat="1" hidden="1" x14ac:dyDescent="0.2">
      <c r="C1935" s="180"/>
    </row>
    <row r="1936" spans="3:3" s="181" customFormat="1" hidden="1" x14ac:dyDescent="0.2">
      <c r="C1936" s="180"/>
    </row>
    <row r="1937" spans="3:3" s="181" customFormat="1" hidden="1" x14ac:dyDescent="0.2">
      <c r="C1937" s="180"/>
    </row>
    <row r="1938" spans="3:3" s="181" customFormat="1" hidden="1" x14ac:dyDescent="0.2">
      <c r="C1938" s="180"/>
    </row>
    <row r="1939" spans="3:3" s="181" customFormat="1" hidden="1" x14ac:dyDescent="0.2">
      <c r="C1939" s="180"/>
    </row>
    <row r="1940" spans="3:3" s="181" customFormat="1" hidden="1" x14ac:dyDescent="0.2">
      <c r="C1940" s="180"/>
    </row>
    <row r="1941" spans="3:3" s="181" customFormat="1" hidden="1" x14ac:dyDescent="0.2">
      <c r="C1941" s="180"/>
    </row>
    <row r="1942" spans="3:3" s="181" customFormat="1" hidden="1" x14ac:dyDescent="0.2">
      <c r="C1942" s="180"/>
    </row>
    <row r="1943" spans="3:3" s="181" customFormat="1" hidden="1" x14ac:dyDescent="0.2">
      <c r="C1943" s="180"/>
    </row>
    <row r="1944" spans="3:3" s="181" customFormat="1" hidden="1" x14ac:dyDescent="0.2">
      <c r="C1944" s="180"/>
    </row>
    <row r="1945" spans="3:3" s="181" customFormat="1" hidden="1" x14ac:dyDescent="0.2">
      <c r="C1945" s="180"/>
    </row>
    <row r="1946" spans="3:3" s="181" customFormat="1" hidden="1" x14ac:dyDescent="0.2">
      <c r="C1946" s="180"/>
    </row>
    <row r="1947" spans="3:3" s="181" customFormat="1" hidden="1" x14ac:dyDescent="0.2">
      <c r="C1947" s="180"/>
    </row>
    <row r="1948" spans="3:3" s="181" customFormat="1" hidden="1" x14ac:dyDescent="0.2">
      <c r="C1948" s="180"/>
    </row>
    <row r="1949" spans="3:3" s="181" customFormat="1" hidden="1" x14ac:dyDescent="0.2">
      <c r="C1949" s="180"/>
    </row>
    <row r="1950" spans="3:3" s="181" customFormat="1" hidden="1" x14ac:dyDescent="0.2">
      <c r="C1950" s="180"/>
    </row>
    <row r="1951" spans="3:3" s="181" customFormat="1" hidden="1" x14ac:dyDescent="0.2">
      <c r="C1951" s="180"/>
    </row>
    <row r="1952" spans="3:3" s="181" customFormat="1" hidden="1" x14ac:dyDescent="0.2">
      <c r="C1952" s="180"/>
    </row>
    <row r="1953" spans="3:3" s="181" customFormat="1" hidden="1" x14ac:dyDescent="0.2">
      <c r="C1953" s="180"/>
    </row>
    <row r="1954" spans="3:3" s="181" customFormat="1" hidden="1" x14ac:dyDescent="0.2">
      <c r="C1954" s="180"/>
    </row>
    <row r="1955" spans="3:3" s="181" customFormat="1" hidden="1" x14ac:dyDescent="0.2">
      <c r="C1955" s="180"/>
    </row>
    <row r="1956" spans="3:3" s="181" customFormat="1" hidden="1" x14ac:dyDescent="0.2">
      <c r="C1956" s="180"/>
    </row>
    <row r="1957" spans="3:3" s="181" customFormat="1" hidden="1" x14ac:dyDescent="0.2">
      <c r="C1957" s="180"/>
    </row>
    <row r="1958" spans="3:3" s="181" customFormat="1" hidden="1" x14ac:dyDescent="0.2">
      <c r="C1958" s="180"/>
    </row>
    <row r="1959" spans="3:3" s="181" customFormat="1" hidden="1" x14ac:dyDescent="0.2">
      <c r="C1959" s="180"/>
    </row>
    <row r="1960" spans="3:3" s="181" customFormat="1" hidden="1" x14ac:dyDescent="0.2">
      <c r="C1960" s="180"/>
    </row>
    <row r="1961" spans="3:3" s="181" customFormat="1" hidden="1" x14ac:dyDescent="0.2">
      <c r="C1961" s="180"/>
    </row>
    <row r="1962" spans="3:3" s="181" customFormat="1" hidden="1" x14ac:dyDescent="0.2">
      <c r="C1962" s="180"/>
    </row>
    <row r="1963" spans="3:3" s="181" customFormat="1" hidden="1" x14ac:dyDescent="0.2">
      <c r="C1963" s="180"/>
    </row>
    <row r="1964" spans="3:3" s="181" customFormat="1" hidden="1" x14ac:dyDescent="0.2">
      <c r="C1964" s="180"/>
    </row>
    <row r="1965" spans="3:3" s="181" customFormat="1" hidden="1" x14ac:dyDescent="0.2">
      <c r="C1965" s="180"/>
    </row>
    <row r="1966" spans="3:3" s="181" customFormat="1" hidden="1" x14ac:dyDescent="0.2">
      <c r="C1966" s="180"/>
    </row>
    <row r="1967" spans="3:3" s="181" customFormat="1" hidden="1" x14ac:dyDescent="0.2">
      <c r="C1967" s="180"/>
    </row>
    <row r="1968" spans="3:3" s="181" customFormat="1" hidden="1" x14ac:dyDescent="0.2">
      <c r="C1968" s="180"/>
    </row>
    <row r="1969" spans="3:3" s="181" customFormat="1" hidden="1" x14ac:dyDescent="0.2">
      <c r="C1969" s="180"/>
    </row>
    <row r="1970" spans="3:3" s="181" customFormat="1" hidden="1" x14ac:dyDescent="0.2">
      <c r="C1970" s="180"/>
    </row>
    <row r="1971" spans="3:3" s="181" customFormat="1" hidden="1" x14ac:dyDescent="0.2">
      <c r="C1971" s="180"/>
    </row>
    <row r="1972" spans="3:3" s="181" customFormat="1" hidden="1" x14ac:dyDescent="0.2">
      <c r="C1972" s="180"/>
    </row>
    <row r="1973" spans="3:3" s="181" customFormat="1" hidden="1" x14ac:dyDescent="0.2">
      <c r="C1973" s="180"/>
    </row>
    <row r="1974" spans="3:3" s="181" customFormat="1" hidden="1" x14ac:dyDescent="0.2">
      <c r="C1974" s="180"/>
    </row>
    <row r="1975" spans="3:3" s="181" customFormat="1" hidden="1" x14ac:dyDescent="0.2">
      <c r="C1975" s="180"/>
    </row>
    <row r="1976" spans="3:3" s="181" customFormat="1" hidden="1" x14ac:dyDescent="0.2">
      <c r="C1976" s="180"/>
    </row>
    <row r="1977" spans="3:3" s="181" customFormat="1" hidden="1" x14ac:dyDescent="0.2">
      <c r="C1977" s="180"/>
    </row>
    <row r="1978" spans="3:3" s="181" customFormat="1" hidden="1" x14ac:dyDescent="0.2">
      <c r="C1978" s="180"/>
    </row>
    <row r="1979" spans="3:3" s="181" customFormat="1" hidden="1" x14ac:dyDescent="0.2">
      <c r="C1979" s="180"/>
    </row>
    <row r="1980" spans="3:3" s="181" customFormat="1" hidden="1" x14ac:dyDescent="0.2">
      <c r="C1980" s="180"/>
    </row>
    <row r="1981" spans="3:3" s="181" customFormat="1" hidden="1" x14ac:dyDescent="0.2">
      <c r="C1981" s="180"/>
    </row>
    <row r="1982" spans="3:3" s="181" customFormat="1" hidden="1" x14ac:dyDescent="0.2">
      <c r="C1982" s="180"/>
    </row>
    <row r="1983" spans="3:3" s="181" customFormat="1" hidden="1" x14ac:dyDescent="0.2">
      <c r="C1983" s="180"/>
    </row>
    <row r="1984" spans="3:3" s="181" customFormat="1" hidden="1" x14ac:dyDescent="0.2">
      <c r="C1984" s="180"/>
    </row>
    <row r="1985" spans="3:3" s="181" customFormat="1" hidden="1" x14ac:dyDescent="0.2">
      <c r="C1985" s="180"/>
    </row>
    <row r="1986" spans="3:3" s="181" customFormat="1" hidden="1" x14ac:dyDescent="0.2">
      <c r="C1986" s="180"/>
    </row>
    <row r="1987" spans="3:3" s="181" customFormat="1" hidden="1" x14ac:dyDescent="0.2">
      <c r="C1987" s="180"/>
    </row>
    <row r="1988" spans="3:3" s="181" customFormat="1" hidden="1" x14ac:dyDescent="0.2">
      <c r="C1988" s="180"/>
    </row>
    <row r="1989" spans="3:3" s="181" customFormat="1" hidden="1" x14ac:dyDescent="0.2">
      <c r="C1989" s="180"/>
    </row>
    <row r="1990" spans="3:3" s="181" customFormat="1" hidden="1" x14ac:dyDescent="0.2">
      <c r="C1990" s="180"/>
    </row>
    <row r="1991" spans="3:3" s="181" customFormat="1" hidden="1" x14ac:dyDescent="0.2">
      <c r="C1991" s="180"/>
    </row>
    <row r="1992" spans="3:3" s="181" customFormat="1" hidden="1" x14ac:dyDescent="0.2">
      <c r="C1992" s="180"/>
    </row>
    <row r="1993" spans="3:3" s="181" customFormat="1" hidden="1" x14ac:dyDescent="0.2">
      <c r="C1993" s="180"/>
    </row>
    <row r="1994" spans="3:3" s="181" customFormat="1" hidden="1" x14ac:dyDescent="0.2">
      <c r="C1994" s="180"/>
    </row>
    <row r="1995" spans="3:3" s="181" customFormat="1" hidden="1" x14ac:dyDescent="0.2">
      <c r="C1995" s="180"/>
    </row>
    <row r="1996" spans="3:3" s="181" customFormat="1" hidden="1" x14ac:dyDescent="0.2">
      <c r="C1996" s="180"/>
    </row>
    <row r="1997" spans="3:3" s="181" customFormat="1" hidden="1" x14ac:dyDescent="0.2">
      <c r="C1997" s="180"/>
    </row>
    <row r="1998" spans="3:3" s="181" customFormat="1" hidden="1" x14ac:dyDescent="0.2">
      <c r="C1998" s="180"/>
    </row>
    <row r="1999" spans="3:3" s="181" customFormat="1" hidden="1" x14ac:dyDescent="0.2">
      <c r="C1999" s="180"/>
    </row>
    <row r="2000" spans="3:3" s="181" customFormat="1" hidden="1" x14ac:dyDescent="0.2">
      <c r="C2000" s="180"/>
    </row>
    <row r="2001" spans="3:3" s="181" customFormat="1" hidden="1" x14ac:dyDescent="0.2">
      <c r="C2001" s="180"/>
    </row>
    <row r="2002" spans="3:3" s="181" customFormat="1" hidden="1" x14ac:dyDescent="0.2">
      <c r="C2002" s="180"/>
    </row>
    <row r="2003" spans="3:3" s="181" customFormat="1" hidden="1" x14ac:dyDescent="0.2">
      <c r="C2003" s="180"/>
    </row>
    <row r="2004" spans="3:3" s="181" customFormat="1" hidden="1" x14ac:dyDescent="0.2">
      <c r="C2004" s="180"/>
    </row>
    <row r="2005" spans="3:3" s="181" customFormat="1" hidden="1" x14ac:dyDescent="0.2">
      <c r="C2005" s="180"/>
    </row>
    <row r="2006" spans="3:3" s="181" customFormat="1" hidden="1" x14ac:dyDescent="0.2">
      <c r="C2006" s="180"/>
    </row>
    <row r="2007" spans="3:3" s="181" customFormat="1" hidden="1" x14ac:dyDescent="0.2">
      <c r="C2007" s="180"/>
    </row>
    <row r="2008" spans="3:3" s="181" customFormat="1" hidden="1" x14ac:dyDescent="0.2">
      <c r="C2008" s="180"/>
    </row>
    <row r="2009" spans="3:3" s="181" customFormat="1" hidden="1" x14ac:dyDescent="0.2">
      <c r="C2009" s="180"/>
    </row>
    <row r="2010" spans="3:3" s="181" customFormat="1" hidden="1" x14ac:dyDescent="0.2">
      <c r="C2010" s="180"/>
    </row>
    <row r="2011" spans="3:3" s="181" customFormat="1" hidden="1" x14ac:dyDescent="0.2">
      <c r="C2011" s="180"/>
    </row>
    <row r="2012" spans="3:3" s="181" customFormat="1" hidden="1" x14ac:dyDescent="0.2">
      <c r="C2012" s="180"/>
    </row>
    <row r="2013" spans="3:3" s="181" customFormat="1" hidden="1" x14ac:dyDescent="0.2">
      <c r="C2013" s="180"/>
    </row>
    <row r="2014" spans="3:3" s="181" customFormat="1" hidden="1" x14ac:dyDescent="0.2">
      <c r="C2014" s="180"/>
    </row>
    <row r="2015" spans="3:3" s="181" customFormat="1" hidden="1" x14ac:dyDescent="0.2">
      <c r="C2015" s="180"/>
    </row>
    <row r="2016" spans="3:3" s="181" customFormat="1" hidden="1" x14ac:dyDescent="0.2">
      <c r="C2016" s="180"/>
    </row>
    <row r="2017" spans="3:3" s="181" customFormat="1" hidden="1" x14ac:dyDescent="0.2">
      <c r="C2017" s="180"/>
    </row>
    <row r="2018" spans="3:3" s="181" customFormat="1" hidden="1" x14ac:dyDescent="0.2">
      <c r="C2018" s="180"/>
    </row>
    <row r="2019" spans="3:3" s="181" customFormat="1" hidden="1" x14ac:dyDescent="0.2">
      <c r="C2019" s="180"/>
    </row>
    <row r="2020" spans="3:3" s="181" customFormat="1" hidden="1" x14ac:dyDescent="0.2">
      <c r="C2020" s="180"/>
    </row>
    <row r="2021" spans="3:3" s="181" customFormat="1" hidden="1" x14ac:dyDescent="0.2">
      <c r="C2021" s="180"/>
    </row>
    <row r="2022" spans="3:3" s="181" customFormat="1" hidden="1" x14ac:dyDescent="0.2">
      <c r="C2022" s="180"/>
    </row>
    <row r="2023" spans="3:3" s="181" customFormat="1" hidden="1" x14ac:dyDescent="0.2">
      <c r="C2023" s="180"/>
    </row>
    <row r="2024" spans="3:3" s="181" customFormat="1" hidden="1" x14ac:dyDescent="0.2">
      <c r="C2024" s="180"/>
    </row>
    <row r="2025" spans="3:3" s="181" customFormat="1" hidden="1" x14ac:dyDescent="0.2">
      <c r="C2025" s="180"/>
    </row>
    <row r="2026" spans="3:3" s="181" customFormat="1" hidden="1" x14ac:dyDescent="0.2">
      <c r="C2026" s="180"/>
    </row>
    <row r="2027" spans="3:3" s="181" customFormat="1" hidden="1" x14ac:dyDescent="0.2">
      <c r="C2027" s="180"/>
    </row>
    <row r="2028" spans="3:3" s="181" customFormat="1" hidden="1" x14ac:dyDescent="0.2">
      <c r="C2028" s="180"/>
    </row>
    <row r="2029" spans="3:3" s="181" customFormat="1" hidden="1" x14ac:dyDescent="0.2">
      <c r="C2029" s="180"/>
    </row>
    <row r="2030" spans="3:3" s="181" customFormat="1" hidden="1" x14ac:dyDescent="0.2">
      <c r="C2030" s="180"/>
    </row>
    <row r="2031" spans="3:3" s="181" customFormat="1" hidden="1" x14ac:dyDescent="0.2">
      <c r="C2031" s="180"/>
    </row>
    <row r="2032" spans="3:3" s="181" customFormat="1" hidden="1" x14ac:dyDescent="0.2">
      <c r="C2032" s="180"/>
    </row>
    <row r="2033" spans="3:3" s="181" customFormat="1" hidden="1" x14ac:dyDescent="0.2">
      <c r="C2033" s="180"/>
    </row>
    <row r="2034" spans="3:3" s="181" customFormat="1" hidden="1" x14ac:dyDescent="0.2">
      <c r="C2034" s="180"/>
    </row>
    <row r="2035" spans="3:3" s="181" customFormat="1" hidden="1" x14ac:dyDescent="0.2">
      <c r="C2035" s="180"/>
    </row>
    <row r="2036" spans="3:3" s="181" customFormat="1" hidden="1" x14ac:dyDescent="0.2">
      <c r="C2036" s="180"/>
    </row>
    <row r="2037" spans="3:3" s="181" customFormat="1" hidden="1" x14ac:dyDescent="0.2">
      <c r="C2037" s="180"/>
    </row>
    <row r="2038" spans="3:3" s="181" customFormat="1" hidden="1" x14ac:dyDescent="0.2">
      <c r="C2038" s="180"/>
    </row>
    <row r="2039" spans="3:3" s="181" customFormat="1" hidden="1" x14ac:dyDescent="0.2">
      <c r="C2039" s="180"/>
    </row>
    <row r="2040" spans="3:3" s="181" customFormat="1" hidden="1" x14ac:dyDescent="0.2">
      <c r="C2040" s="180"/>
    </row>
    <row r="2041" spans="3:3" s="181" customFormat="1" hidden="1" x14ac:dyDescent="0.2">
      <c r="C2041" s="180"/>
    </row>
    <row r="2042" spans="3:3" s="181" customFormat="1" hidden="1" x14ac:dyDescent="0.2">
      <c r="C2042" s="180"/>
    </row>
    <row r="2043" spans="3:3" s="181" customFormat="1" hidden="1" x14ac:dyDescent="0.2">
      <c r="C2043" s="180"/>
    </row>
    <row r="2044" spans="3:3" s="181" customFormat="1" hidden="1" x14ac:dyDescent="0.2">
      <c r="C2044" s="180"/>
    </row>
    <row r="2045" spans="3:3" s="181" customFormat="1" hidden="1" x14ac:dyDescent="0.2">
      <c r="C2045" s="180"/>
    </row>
    <row r="2046" spans="3:3" s="181" customFormat="1" hidden="1" x14ac:dyDescent="0.2">
      <c r="C2046" s="180"/>
    </row>
    <row r="2047" spans="3:3" s="181" customFormat="1" hidden="1" x14ac:dyDescent="0.2">
      <c r="C2047" s="180"/>
    </row>
    <row r="2048" spans="3:3" s="181" customFormat="1" hidden="1" x14ac:dyDescent="0.2">
      <c r="C2048" s="180"/>
    </row>
    <row r="2049" spans="3:3" s="181" customFormat="1" hidden="1" x14ac:dyDescent="0.2">
      <c r="C2049" s="180"/>
    </row>
    <row r="2050" spans="3:3" s="181" customFormat="1" hidden="1" x14ac:dyDescent="0.2">
      <c r="C2050" s="180"/>
    </row>
    <row r="2051" spans="3:3" s="181" customFormat="1" hidden="1" x14ac:dyDescent="0.2">
      <c r="C2051" s="180"/>
    </row>
    <row r="2052" spans="3:3" s="181" customFormat="1" hidden="1" x14ac:dyDescent="0.2">
      <c r="C2052" s="180"/>
    </row>
    <row r="2053" spans="3:3" s="181" customFormat="1" hidden="1" x14ac:dyDescent="0.2">
      <c r="C2053" s="180"/>
    </row>
    <row r="2054" spans="3:3" s="181" customFormat="1" hidden="1" x14ac:dyDescent="0.2">
      <c r="C2054" s="180"/>
    </row>
    <row r="2055" spans="3:3" s="181" customFormat="1" hidden="1" x14ac:dyDescent="0.2">
      <c r="C2055" s="180"/>
    </row>
    <row r="2056" spans="3:3" s="181" customFormat="1" hidden="1" x14ac:dyDescent="0.2">
      <c r="C2056" s="180"/>
    </row>
    <row r="2057" spans="3:3" s="181" customFormat="1" hidden="1" x14ac:dyDescent="0.2">
      <c r="C2057" s="180"/>
    </row>
    <row r="2058" spans="3:3" s="181" customFormat="1" hidden="1" x14ac:dyDescent="0.2">
      <c r="C2058" s="180"/>
    </row>
    <row r="2059" spans="3:3" s="181" customFormat="1" hidden="1" x14ac:dyDescent="0.2">
      <c r="C2059" s="180"/>
    </row>
    <row r="2060" spans="3:3" s="181" customFormat="1" hidden="1" x14ac:dyDescent="0.2">
      <c r="C2060" s="180"/>
    </row>
    <row r="2061" spans="3:3" s="181" customFormat="1" hidden="1" x14ac:dyDescent="0.2">
      <c r="C2061" s="180"/>
    </row>
    <row r="2062" spans="3:3" s="181" customFormat="1" hidden="1" x14ac:dyDescent="0.2">
      <c r="C2062" s="180"/>
    </row>
    <row r="2063" spans="3:3" s="181" customFormat="1" hidden="1" x14ac:dyDescent="0.2">
      <c r="C2063" s="180"/>
    </row>
    <row r="2064" spans="3:3" s="181" customFormat="1" hidden="1" x14ac:dyDescent="0.2">
      <c r="C2064" s="180"/>
    </row>
    <row r="2065" spans="3:3" s="181" customFormat="1" hidden="1" x14ac:dyDescent="0.2">
      <c r="C2065" s="180"/>
    </row>
    <row r="2066" spans="3:3" s="181" customFormat="1" hidden="1" x14ac:dyDescent="0.2">
      <c r="C2066" s="180"/>
    </row>
    <row r="2067" spans="3:3" s="181" customFormat="1" hidden="1" x14ac:dyDescent="0.2">
      <c r="C2067" s="180"/>
    </row>
    <row r="2068" spans="3:3" s="181" customFormat="1" hidden="1" x14ac:dyDescent="0.2">
      <c r="C2068" s="180"/>
    </row>
    <row r="2069" spans="3:3" s="181" customFormat="1" hidden="1" x14ac:dyDescent="0.2">
      <c r="C2069" s="180"/>
    </row>
    <row r="2070" spans="3:3" s="181" customFormat="1" hidden="1" x14ac:dyDescent="0.2">
      <c r="C2070" s="180"/>
    </row>
    <row r="2071" spans="3:3" s="181" customFormat="1" hidden="1" x14ac:dyDescent="0.2">
      <c r="C2071" s="180"/>
    </row>
    <row r="2072" spans="3:3" s="181" customFormat="1" hidden="1" x14ac:dyDescent="0.2">
      <c r="C2072" s="180"/>
    </row>
    <row r="2073" spans="3:3" s="181" customFormat="1" hidden="1" x14ac:dyDescent="0.2">
      <c r="C2073" s="180"/>
    </row>
    <row r="2074" spans="3:3" s="181" customFormat="1" hidden="1" x14ac:dyDescent="0.2">
      <c r="C2074" s="180"/>
    </row>
    <row r="2075" spans="3:3" s="181" customFormat="1" hidden="1" x14ac:dyDescent="0.2">
      <c r="C2075" s="180"/>
    </row>
    <row r="2076" spans="3:3" s="181" customFormat="1" hidden="1" x14ac:dyDescent="0.2">
      <c r="C2076" s="180"/>
    </row>
    <row r="2077" spans="3:3" s="181" customFormat="1" hidden="1" x14ac:dyDescent="0.2">
      <c r="C2077" s="180"/>
    </row>
    <row r="2078" spans="3:3" s="181" customFormat="1" hidden="1" x14ac:dyDescent="0.2">
      <c r="C2078" s="180"/>
    </row>
    <row r="2079" spans="3:3" s="181" customFormat="1" hidden="1" x14ac:dyDescent="0.2">
      <c r="C2079" s="180"/>
    </row>
    <row r="2080" spans="3:3" s="181" customFormat="1" hidden="1" x14ac:dyDescent="0.2">
      <c r="C2080" s="180"/>
    </row>
    <row r="2081" spans="3:3" s="181" customFormat="1" hidden="1" x14ac:dyDescent="0.2">
      <c r="C2081" s="180"/>
    </row>
    <row r="2082" spans="3:3" s="181" customFormat="1" hidden="1" x14ac:dyDescent="0.2">
      <c r="C2082" s="180"/>
    </row>
    <row r="2083" spans="3:3" s="181" customFormat="1" hidden="1" x14ac:dyDescent="0.2">
      <c r="C2083" s="180"/>
    </row>
    <row r="2084" spans="3:3" s="181" customFormat="1" hidden="1" x14ac:dyDescent="0.2">
      <c r="C2084" s="180"/>
    </row>
    <row r="2085" spans="3:3" s="181" customFormat="1" hidden="1" x14ac:dyDescent="0.2">
      <c r="C2085" s="180"/>
    </row>
    <row r="2086" spans="3:3" s="181" customFormat="1" hidden="1" x14ac:dyDescent="0.2">
      <c r="C2086" s="180"/>
    </row>
    <row r="2087" spans="3:3" s="181" customFormat="1" hidden="1" x14ac:dyDescent="0.2">
      <c r="C2087" s="180"/>
    </row>
    <row r="2088" spans="3:3" s="181" customFormat="1" hidden="1" x14ac:dyDescent="0.2">
      <c r="C2088" s="180"/>
    </row>
    <row r="2089" spans="3:3" s="181" customFormat="1" hidden="1" x14ac:dyDescent="0.2">
      <c r="C2089" s="180"/>
    </row>
    <row r="2090" spans="3:3" s="181" customFormat="1" hidden="1" x14ac:dyDescent="0.2">
      <c r="C2090" s="180"/>
    </row>
    <row r="2091" spans="3:3" s="181" customFormat="1" hidden="1" x14ac:dyDescent="0.2">
      <c r="C2091" s="180"/>
    </row>
    <row r="2092" spans="3:3" s="181" customFormat="1" hidden="1" x14ac:dyDescent="0.2">
      <c r="C2092" s="180"/>
    </row>
    <row r="2093" spans="3:3" s="181" customFormat="1" hidden="1" x14ac:dyDescent="0.2">
      <c r="C2093" s="180"/>
    </row>
    <row r="2094" spans="3:3" s="181" customFormat="1" hidden="1" x14ac:dyDescent="0.2">
      <c r="C2094" s="180"/>
    </row>
    <row r="2095" spans="3:3" s="181" customFormat="1" hidden="1" x14ac:dyDescent="0.2">
      <c r="C2095" s="180"/>
    </row>
    <row r="2096" spans="3:3" s="181" customFormat="1" hidden="1" x14ac:dyDescent="0.2">
      <c r="C2096" s="180"/>
    </row>
    <row r="2097" spans="3:3" s="181" customFormat="1" hidden="1" x14ac:dyDescent="0.2">
      <c r="C2097" s="180"/>
    </row>
    <row r="2098" spans="3:3" s="181" customFormat="1" hidden="1" x14ac:dyDescent="0.2">
      <c r="C2098" s="180"/>
    </row>
    <row r="2099" spans="3:3" s="181" customFormat="1" hidden="1" x14ac:dyDescent="0.2">
      <c r="C2099" s="180"/>
    </row>
    <row r="2100" spans="3:3" s="181" customFormat="1" hidden="1" x14ac:dyDescent="0.2">
      <c r="C2100" s="180"/>
    </row>
    <row r="2101" spans="3:3" s="181" customFormat="1" hidden="1" x14ac:dyDescent="0.2">
      <c r="C2101" s="180"/>
    </row>
    <row r="2102" spans="3:3" s="181" customFormat="1" hidden="1" x14ac:dyDescent="0.2">
      <c r="C2102" s="180"/>
    </row>
    <row r="2103" spans="3:3" s="181" customFormat="1" hidden="1" x14ac:dyDescent="0.2">
      <c r="C2103" s="180"/>
    </row>
    <row r="2104" spans="3:3" s="181" customFormat="1" hidden="1" x14ac:dyDescent="0.2">
      <c r="C2104" s="180"/>
    </row>
    <row r="2105" spans="3:3" s="181" customFormat="1" hidden="1" x14ac:dyDescent="0.2">
      <c r="C2105" s="180"/>
    </row>
    <row r="2106" spans="3:3" s="181" customFormat="1" hidden="1" x14ac:dyDescent="0.2">
      <c r="C2106" s="180"/>
    </row>
    <row r="2107" spans="3:3" s="181" customFormat="1" hidden="1" x14ac:dyDescent="0.2">
      <c r="C2107" s="180"/>
    </row>
    <row r="2108" spans="3:3" s="181" customFormat="1" hidden="1" x14ac:dyDescent="0.2">
      <c r="C2108" s="180"/>
    </row>
    <row r="2109" spans="3:3" s="181" customFormat="1" hidden="1" x14ac:dyDescent="0.2">
      <c r="C2109" s="180"/>
    </row>
    <row r="2110" spans="3:3" s="181" customFormat="1" hidden="1" x14ac:dyDescent="0.2">
      <c r="C2110" s="180"/>
    </row>
    <row r="2111" spans="3:3" s="181" customFormat="1" hidden="1" x14ac:dyDescent="0.2">
      <c r="C2111" s="180"/>
    </row>
    <row r="2112" spans="3:3" s="181" customFormat="1" hidden="1" x14ac:dyDescent="0.2">
      <c r="C2112" s="180"/>
    </row>
    <row r="2113" spans="3:3" s="181" customFormat="1" hidden="1" x14ac:dyDescent="0.2">
      <c r="C2113" s="180"/>
    </row>
    <row r="2114" spans="3:3" s="181" customFormat="1" hidden="1" x14ac:dyDescent="0.2">
      <c r="C2114" s="180"/>
    </row>
    <row r="2115" spans="3:3" s="181" customFormat="1" hidden="1" x14ac:dyDescent="0.2">
      <c r="C2115" s="180"/>
    </row>
    <row r="2116" spans="3:3" s="181" customFormat="1" hidden="1" x14ac:dyDescent="0.2">
      <c r="C2116" s="180"/>
    </row>
    <row r="2117" spans="3:3" s="181" customFormat="1" hidden="1" x14ac:dyDescent="0.2">
      <c r="C2117" s="180"/>
    </row>
    <row r="2118" spans="3:3" s="181" customFormat="1" hidden="1" x14ac:dyDescent="0.2">
      <c r="C2118" s="180"/>
    </row>
    <row r="2119" spans="3:3" s="181" customFormat="1" hidden="1" x14ac:dyDescent="0.2">
      <c r="C2119" s="180"/>
    </row>
    <row r="2120" spans="3:3" s="181" customFormat="1" hidden="1" x14ac:dyDescent="0.2">
      <c r="C2120" s="180"/>
    </row>
    <row r="2121" spans="3:3" s="181" customFormat="1" hidden="1" x14ac:dyDescent="0.2">
      <c r="C2121" s="180"/>
    </row>
    <row r="2122" spans="3:3" s="181" customFormat="1" hidden="1" x14ac:dyDescent="0.2">
      <c r="C2122" s="180"/>
    </row>
    <row r="2123" spans="3:3" s="181" customFormat="1" hidden="1" x14ac:dyDescent="0.2">
      <c r="C2123" s="180"/>
    </row>
    <row r="2124" spans="3:3" s="181" customFormat="1" hidden="1" x14ac:dyDescent="0.2">
      <c r="C2124" s="180"/>
    </row>
    <row r="2125" spans="3:3" s="181" customFormat="1" hidden="1" x14ac:dyDescent="0.2">
      <c r="C2125" s="180"/>
    </row>
    <row r="2126" spans="3:3" s="181" customFormat="1" hidden="1" x14ac:dyDescent="0.2">
      <c r="C2126" s="180"/>
    </row>
    <row r="2127" spans="3:3" s="181" customFormat="1" hidden="1" x14ac:dyDescent="0.2">
      <c r="C2127" s="180"/>
    </row>
    <row r="2128" spans="3:3" s="181" customFormat="1" hidden="1" x14ac:dyDescent="0.2">
      <c r="C2128" s="180"/>
    </row>
    <row r="2129" spans="3:3" s="181" customFormat="1" hidden="1" x14ac:dyDescent="0.2">
      <c r="C2129" s="180"/>
    </row>
    <row r="2130" spans="3:3" s="181" customFormat="1" hidden="1" x14ac:dyDescent="0.2">
      <c r="C2130" s="180"/>
    </row>
    <row r="2131" spans="3:3" s="181" customFormat="1" hidden="1" x14ac:dyDescent="0.2">
      <c r="C2131" s="180"/>
    </row>
    <row r="2132" spans="3:3" s="181" customFormat="1" hidden="1" x14ac:dyDescent="0.2">
      <c r="C2132" s="180"/>
    </row>
    <row r="2133" spans="3:3" s="181" customFormat="1" hidden="1" x14ac:dyDescent="0.2">
      <c r="C2133" s="180"/>
    </row>
    <row r="2134" spans="3:3" s="181" customFormat="1" hidden="1" x14ac:dyDescent="0.2">
      <c r="C2134" s="180"/>
    </row>
    <row r="2135" spans="3:3" s="181" customFormat="1" hidden="1" x14ac:dyDescent="0.2">
      <c r="C2135" s="180"/>
    </row>
    <row r="2136" spans="3:3" s="181" customFormat="1" hidden="1" x14ac:dyDescent="0.2">
      <c r="C2136" s="180"/>
    </row>
    <row r="2137" spans="3:3" s="181" customFormat="1" hidden="1" x14ac:dyDescent="0.2">
      <c r="C2137" s="180"/>
    </row>
    <row r="2138" spans="3:3" s="181" customFormat="1" hidden="1" x14ac:dyDescent="0.2">
      <c r="C2138" s="180"/>
    </row>
    <row r="2139" spans="3:3" s="181" customFormat="1" hidden="1" x14ac:dyDescent="0.2">
      <c r="C2139" s="180"/>
    </row>
    <row r="2140" spans="3:3" s="181" customFormat="1" hidden="1" x14ac:dyDescent="0.2">
      <c r="C2140" s="180"/>
    </row>
    <row r="2141" spans="3:3" s="181" customFormat="1" hidden="1" x14ac:dyDescent="0.2">
      <c r="C2141" s="180"/>
    </row>
    <row r="2142" spans="3:3" s="181" customFormat="1" hidden="1" x14ac:dyDescent="0.2">
      <c r="C2142" s="180"/>
    </row>
    <row r="2143" spans="3:3" s="181" customFormat="1" hidden="1" x14ac:dyDescent="0.2">
      <c r="C2143" s="180"/>
    </row>
    <row r="2144" spans="3:3" s="181" customFormat="1" hidden="1" x14ac:dyDescent="0.2">
      <c r="C2144" s="180"/>
    </row>
    <row r="2145" spans="3:3" s="181" customFormat="1" hidden="1" x14ac:dyDescent="0.2">
      <c r="C2145" s="180"/>
    </row>
    <row r="2146" spans="3:3" s="181" customFormat="1" hidden="1" x14ac:dyDescent="0.2">
      <c r="C2146" s="180"/>
    </row>
    <row r="2147" spans="3:3" s="181" customFormat="1" hidden="1" x14ac:dyDescent="0.2">
      <c r="C2147" s="180"/>
    </row>
    <row r="2148" spans="3:3" s="181" customFormat="1" hidden="1" x14ac:dyDescent="0.2">
      <c r="C2148" s="180"/>
    </row>
    <row r="2149" spans="3:3" s="181" customFormat="1" hidden="1" x14ac:dyDescent="0.2">
      <c r="C2149" s="180"/>
    </row>
    <row r="2150" spans="3:3" s="181" customFormat="1" hidden="1" x14ac:dyDescent="0.2">
      <c r="C2150" s="180"/>
    </row>
    <row r="2151" spans="3:3" s="181" customFormat="1" hidden="1" x14ac:dyDescent="0.2">
      <c r="C2151" s="180"/>
    </row>
    <row r="2152" spans="3:3" s="181" customFormat="1" hidden="1" x14ac:dyDescent="0.2">
      <c r="C2152" s="180"/>
    </row>
    <row r="2153" spans="3:3" s="181" customFormat="1" hidden="1" x14ac:dyDescent="0.2">
      <c r="C2153" s="180"/>
    </row>
    <row r="2154" spans="3:3" s="181" customFormat="1" hidden="1" x14ac:dyDescent="0.2">
      <c r="C2154" s="180"/>
    </row>
    <row r="2155" spans="3:3" s="181" customFormat="1" hidden="1" x14ac:dyDescent="0.2">
      <c r="C2155" s="180"/>
    </row>
    <row r="2156" spans="3:3" s="181" customFormat="1" hidden="1" x14ac:dyDescent="0.2">
      <c r="C2156" s="180"/>
    </row>
    <row r="2157" spans="3:3" s="181" customFormat="1" hidden="1" x14ac:dyDescent="0.2">
      <c r="C2157" s="180"/>
    </row>
    <row r="2158" spans="3:3" s="181" customFormat="1" hidden="1" x14ac:dyDescent="0.2">
      <c r="C2158" s="180"/>
    </row>
    <row r="2159" spans="3:3" s="181" customFormat="1" hidden="1" x14ac:dyDescent="0.2">
      <c r="C2159" s="180"/>
    </row>
    <row r="2160" spans="3:3" s="181" customFormat="1" hidden="1" x14ac:dyDescent="0.2">
      <c r="C2160" s="180"/>
    </row>
    <row r="2161" spans="3:3" s="181" customFormat="1" hidden="1" x14ac:dyDescent="0.2">
      <c r="C2161" s="180"/>
    </row>
    <row r="2162" spans="3:3" s="181" customFormat="1" hidden="1" x14ac:dyDescent="0.2">
      <c r="C2162" s="180"/>
    </row>
    <row r="2163" spans="3:3" s="181" customFormat="1" hidden="1" x14ac:dyDescent="0.2">
      <c r="C2163" s="180"/>
    </row>
    <row r="2164" spans="3:3" s="181" customFormat="1" hidden="1" x14ac:dyDescent="0.2">
      <c r="C2164" s="180"/>
    </row>
    <row r="2165" spans="3:3" s="181" customFormat="1" hidden="1" x14ac:dyDescent="0.2">
      <c r="C2165" s="180"/>
    </row>
    <row r="2166" spans="3:3" s="181" customFormat="1" hidden="1" x14ac:dyDescent="0.2">
      <c r="C2166" s="180"/>
    </row>
    <row r="2167" spans="3:3" s="181" customFormat="1" hidden="1" x14ac:dyDescent="0.2">
      <c r="C2167" s="180"/>
    </row>
    <row r="2168" spans="3:3" s="181" customFormat="1" hidden="1" x14ac:dyDescent="0.2">
      <c r="C2168" s="180"/>
    </row>
    <row r="2169" spans="3:3" s="181" customFormat="1" hidden="1" x14ac:dyDescent="0.2">
      <c r="C2169" s="180"/>
    </row>
    <row r="2170" spans="3:3" s="181" customFormat="1" hidden="1" x14ac:dyDescent="0.2">
      <c r="C2170" s="180"/>
    </row>
    <row r="2171" spans="3:3" s="181" customFormat="1" hidden="1" x14ac:dyDescent="0.2">
      <c r="C2171" s="180"/>
    </row>
    <row r="2172" spans="3:3" s="181" customFormat="1" hidden="1" x14ac:dyDescent="0.2">
      <c r="C2172" s="180"/>
    </row>
    <row r="2173" spans="3:3" s="181" customFormat="1" hidden="1" x14ac:dyDescent="0.2">
      <c r="C2173" s="180"/>
    </row>
    <row r="2174" spans="3:3" s="181" customFormat="1" hidden="1" x14ac:dyDescent="0.2">
      <c r="C2174" s="180"/>
    </row>
    <row r="2175" spans="3:3" s="181" customFormat="1" hidden="1" x14ac:dyDescent="0.2">
      <c r="C2175" s="180"/>
    </row>
    <row r="2176" spans="3:3" s="181" customFormat="1" hidden="1" x14ac:dyDescent="0.2">
      <c r="C2176" s="180"/>
    </row>
    <row r="2177" spans="3:3" s="181" customFormat="1" hidden="1" x14ac:dyDescent="0.2">
      <c r="C2177" s="180"/>
    </row>
    <row r="2178" spans="3:3" s="181" customFormat="1" hidden="1" x14ac:dyDescent="0.2">
      <c r="C2178" s="180"/>
    </row>
    <row r="2179" spans="3:3" s="181" customFormat="1" hidden="1" x14ac:dyDescent="0.2">
      <c r="C2179" s="180"/>
    </row>
    <row r="2180" spans="3:3" s="181" customFormat="1" hidden="1" x14ac:dyDescent="0.2">
      <c r="C2180" s="180"/>
    </row>
    <row r="2181" spans="3:3" s="181" customFormat="1" hidden="1" x14ac:dyDescent="0.2">
      <c r="C2181" s="180"/>
    </row>
    <row r="2182" spans="3:3" s="181" customFormat="1" hidden="1" x14ac:dyDescent="0.2">
      <c r="C2182" s="180"/>
    </row>
    <row r="2183" spans="3:3" s="181" customFormat="1" hidden="1" x14ac:dyDescent="0.2">
      <c r="C2183" s="180"/>
    </row>
    <row r="2184" spans="3:3" s="181" customFormat="1" hidden="1" x14ac:dyDescent="0.2">
      <c r="C2184" s="180"/>
    </row>
    <row r="2185" spans="3:3" s="181" customFormat="1" hidden="1" x14ac:dyDescent="0.2">
      <c r="C2185" s="180"/>
    </row>
    <row r="2186" spans="3:3" s="181" customFormat="1" hidden="1" x14ac:dyDescent="0.2">
      <c r="C2186" s="180"/>
    </row>
    <row r="2187" spans="3:3" s="181" customFormat="1" hidden="1" x14ac:dyDescent="0.2">
      <c r="C2187" s="180"/>
    </row>
    <row r="2188" spans="3:3" s="181" customFormat="1" hidden="1" x14ac:dyDescent="0.2">
      <c r="C2188" s="180"/>
    </row>
    <row r="2189" spans="3:3" s="181" customFormat="1" hidden="1" x14ac:dyDescent="0.2">
      <c r="C2189" s="180"/>
    </row>
    <row r="2190" spans="3:3" s="181" customFormat="1" hidden="1" x14ac:dyDescent="0.2">
      <c r="C2190" s="180"/>
    </row>
    <row r="2191" spans="3:3" s="181" customFormat="1" hidden="1" x14ac:dyDescent="0.2">
      <c r="C2191" s="180"/>
    </row>
    <row r="2192" spans="3:3" s="181" customFormat="1" hidden="1" x14ac:dyDescent="0.2">
      <c r="C2192" s="180"/>
    </row>
    <row r="2193" spans="3:3" s="181" customFormat="1" hidden="1" x14ac:dyDescent="0.2">
      <c r="C2193" s="180"/>
    </row>
    <row r="2194" spans="3:3" s="181" customFormat="1" hidden="1" x14ac:dyDescent="0.2">
      <c r="C2194" s="180"/>
    </row>
    <row r="2195" spans="3:3" s="181" customFormat="1" hidden="1" x14ac:dyDescent="0.2">
      <c r="C2195" s="180"/>
    </row>
    <row r="2196" spans="3:3" s="181" customFormat="1" hidden="1" x14ac:dyDescent="0.2">
      <c r="C2196" s="180"/>
    </row>
    <row r="2197" spans="3:3" s="181" customFormat="1" hidden="1" x14ac:dyDescent="0.2">
      <c r="C2197" s="180"/>
    </row>
    <row r="2198" spans="3:3" s="181" customFormat="1" hidden="1" x14ac:dyDescent="0.2">
      <c r="C2198" s="180"/>
    </row>
    <row r="2199" spans="3:3" s="181" customFormat="1" hidden="1" x14ac:dyDescent="0.2">
      <c r="C2199" s="180"/>
    </row>
    <row r="2200" spans="3:3" s="181" customFormat="1" hidden="1" x14ac:dyDescent="0.2">
      <c r="C2200" s="180"/>
    </row>
    <row r="2201" spans="3:3" s="181" customFormat="1" hidden="1" x14ac:dyDescent="0.2">
      <c r="C2201" s="180"/>
    </row>
    <row r="2202" spans="3:3" s="181" customFormat="1" hidden="1" x14ac:dyDescent="0.2">
      <c r="C2202" s="180"/>
    </row>
    <row r="2203" spans="3:3" s="181" customFormat="1" hidden="1" x14ac:dyDescent="0.2">
      <c r="C2203" s="180"/>
    </row>
    <row r="2204" spans="3:3" s="181" customFormat="1" hidden="1" x14ac:dyDescent="0.2">
      <c r="C2204" s="180"/>
    </row>
    <row r="2205" spans="3:3" s="181" customFormat="1" hidden="1" x14ac:dyDescent="0.2">
      <c r="C2205" s="180"/>
    </row>
    <row r="2206" spans="3:3" s="181" customFormat="1" hidden="1" x14ac:dyDescent="0.2">
      <c r="C2206" s="180"/>
    </row>
    <row r="2207" spans="3:3" s="181" customFormat="1" hidden="1" x14ac:dyDescent="0.2">
      <c r="C2207" s="180"/>
    </row>
    <row r="2208" spans="3:3" s="181" customFormat="1" hidden="1" x14ac:dyDescent="0.2">
      <c r="C2208" s="180"/>
    </row>
    <row r="2209" spans="3:3" s="181" customFormat="1" hidden="1" x14ac:dyDescent="0.2">
      <c r="C2209" s="180"/>
    </row>
    <row r="2210" spans="3:3" s="181" customFormat="1" hidden="1" x14ac:dyDescent="0.2">
      <c r="C2210" s="180"/>
    </row>
    <row r="2211" spans="3:3" s="181" customFormat="1" hidden="1" x14ac:dyDescent="0.2">
      <c r="C2211" s="180"/>
    </row>
    <row r="2212" spans="3:3" s="181" customFormat="1" hidden="1" x14ac:dyDescent="0.2">
      <c r="C2212" s="180"/>
    </row>
    <row r="2213" spans="3:3" s="181" customFormat="1" hidden="1" x14ac:dyDescent="0.2">
      <c r="C2213" s="180"/>
    </row>
    <row r="2214" spans="3:3" s="181" customFormat="1" hidden="1" x14ac:dyDescent="0.2">
      <c r="C2214" s="180"/>
    </row>
    <row r="2215" spans="3:3" s="181" customFormat="1" hidden="1" x14ac:dyDescent="0.2">
      <c r="C2215" s="180"/>
    </row>
    <row r="2216" spans="3:3" s="181" customFormat="1" hidden="1" x14ac:dyDescent="0.2">
      <c r="C2216" s="180"/>
    </row>
    <row r="2217" spans="3:3" s="181" customFormat="1" hidden="1" x14ac:dyDescent="0.2">
      <c r="C2217" s="180"/>
    </row>
    <row r="2218" spans="3:3" s="181" customFormat="1" hidden="1" x14ac:dyDescent="0.2">
      <c r="C2218" s="180"/>
    </row>
    <row r="2219" spans="3:3" s="181" customFormat="1" hidden="1" x14ac:dyDescent="0.2">
      <c r="C2219" s="180"/>
    </row>
    <row r="2220" spans="3:3" s="181" customFormat="1" hidden="1" x14ac:dyDescent="0.2">
      <c r="C2220" s="180"/>
    </row>
    <row r="2221" spans="3:3" s="181" customFormat="1" hidden="1" x14ac:dyDescent="0.2">
      <c r="C2221" s="180"/>
    </row>
    <row r="2222" spans="3:3" s="181" customFormat="1" hidden="1" x14ac:dyDescent="0.2">
      <c r="C2222" s="180"/>
    </row>
    <row r="2223" spans="3:3" s="181" customFormat="1" hidden="1" x14ac:dyDescent="0.2">
      <c r="C2223" s="180"/>
    </row>
    <row r="2224" spans="3:3" s="181" customFormat="1" hidden="1" x14ac:dyDescent="0.2">
      <c r="C2224" s="180"/>
    </row>
    <row r="2225" spans="3:3" s="181" customFormat="1" hidden="1" x14ac:dyDescent="0.2">
      <c r="C2225" s="180"/>
    </row>
    <row r="2226" spans="3:3" s="181" customFormat="1" hidden="1" x14ac:dyDescent="0.2">
      <c r="C2226" s="180"/>
    </row>
    <row r="2227" spans="3:3" s="181" customFormat="1" hidden="1" x14ac:dyDescent="0.2">
      <c r="C2227" s="180"/>
    </row>
    <row r="2228" spans="3:3" s="181" customFormat="1" hidden="1" x14ac:dyDescent="0.2">
      <c r="C2228" s="180"/>
    </row>
    <row r="2229" spans="3:3" s="181" customFormat="1" hidden="1" x14ac:dyDescent="0.2">
      <c r="C2229" s="180"/>
    </row>
    <row r="2230" spans="3:3" s="181" customFormat="1" hidden="1" x14ac:dyDescent="0.2">
      <c r="C2230" s="180"/>
    </row>
    <row r="2231" spans="3:3" s="181" customFormat="1" hidden="1" x14ac:dyDescent="0.2">
      <c r="C2231" s="180"/>
    </row>
    <row r="2232" spans="3:3" s="181" customFormat="1" hidden="1" x14ac:dyDescent="0.2">
      <c r="C2232" s="180"/>
    </row>
    <row r="2233" spans="3:3" s="181" customFormat="1" hidden="1" x14ac:dyDescent="0.2">
      <c r="C2233" s="180"/>
    </row>
    <row r="2234" spans="3:3" s="181" customFormat="1" hidden="1" x14ac:dyDescent="0.2">
      <c r="C2234" s="180"/>
    </row>
    <row r="2235" spans="3:3" s="181" customFormat="1" hidden="1" x14ac:dyDescent="0.2">
      <c r="C2235" s="180"/>
    </row>
    <row r="2236" spans="3:3" s="181" customFormat="1" hidden="1" x14ac:dyDescent="0.2">
      <c r="C2236" s="180"/>
    </row>
    <row r="2237" spans="3:3" s="181" customFormat="1" hidden="1" x14ac:dyDescent="0.2">
      <c r="C2237" s="180"/>
    </row>
    <row r="2238" spans="3:3" s="181" customFormat="1" hidden="1" x14ac:dyDescent="0.2">
      <c r="C2238" s="180"/>
    </row>
    <row r="2239" spans="3:3" s="181" customFormat="1" hidden="1" x14ac:dyDescent="0.2">
      <c r="C2239" s="180"/>
    </row>
    <row r="2240" spans="3:3" s="181" customFormat="1" hidden="1" x14ac:dyDescent="0.2">
      <c r="C2240" s="180"/>
    </row>
    <row r="2241" spans="3:3" s="181" customFormat="1" hidden="1" x14ac:dyDescent="0.2">
      <c r="C2241" s="180"/>
    </row>
    <row r="2242" spans="3:3" s="181" customFormat="1" hidden="1" x14ac:dyDescent="0.2">
      <c r="C2242" s="180"/>
    </row>
    <row r="2243" spans="3:3" s="181" customFormat="1" hidden="1" x14ac:dyDescent="0.2">
      <c r="C2243" s="180"/>
    </row>
    <row r="2244" spans="3:3" s="181" customFormat="1" hidden="1" x14ac:dyDescent="0.2">
      <c r="C2244" s="180"/>
    </row>
    <row r="2245" spans="3:3" s="181" customFormat="1" hidden="1" x14ac:dyDescent="0.2">
      <c r="C2245" s="180"/>
    </row>
    <row r="2246" spans="3:3" s="181" customFormat="1" hidden="1" x14ac:dyDescent="0.2">
      <c r="C2246" s="180"/>
    </row>
    <row r="2247" spans="3:3" s="181" customFormat="1" hidden="1" x14ac:dyDescent="0.2">
      <c r="C2247" s="180"/>
    </row>
    <row r="2248" spans="3:3" s="181" customFormat="1" hidden="1" x14ac:dyDescent="0.2">
      <c r="C2248" s="180"/>
    </row>
    <row r="2249" spans="3:3" s="181" customFormat="1" hidden="1" x14ac:dyDescent="0.2">
      <c r="C2249" s="180"/>
    </row>
    <row r="2250" spans="3:3" s="181" customFormat="1" hidden="1" x14ac:dyDescent="0.2">
      <c r="C2250" s="180"/>
    </row>
    <row r="2251" spans="3:3" s="181" customFormat="1" hidden="1" x14ac:dyDescent="0.2">
      <c r="C2251" s="180"/>
    </row>
    <row r="2252" spans="3:3" s="181" customFormat="1" hidden="1" x14ac:dyDescent="0.2">
      <c r="C2252" s="180"/>
    </row>
    <row r="2253" spans="3:3" s="181" customFormat="1" hidden="1" x14ac:dyDescent="0.2">
      <c r="C2253" s="180"/>
    </row>
    <row r="2254" spans="3:3" s="181" customFormat="1" hidden="1" x14ac:dyDescent="0.2">
      <c r="C2254" s="180"/>
    </row>
    <row r="2255" spans="3:3" s="181" customFormat="1" hidden="1" x14ac:dyDescent="0.2">
      <c r="C2255" s="180"/>
    </row>
    <row r="2256" spans="3:3" s="181" customFormat="1" hidden="1" x14ac:dyDescent="0.2">
      <c r="C2256" s="180"/>
    </row>
    <row r="2257" spans="3:3" s="181" customFormat="1" hidden="1" x14ac:dyDescent="0.2">
      <c r="C2257" s="180"/>
    </row>
    <row r="2258" spans="3:3" s="181" customFormat="1" hidden="1" x14ac:dyDescent="0.2">
      <c r="C2258" s="180"/>
    </row>
    <row r="2259" spans="3:3" s="181" customFormat="1" hidden="1" x14ac:dyDescent="0.2">
      <c r="C2259" s="180"/>
    </row>
    <row r="2260" spans="3:3" s="181" customFormat="1" hidden="1" x14ac:dyDescent="0.2">
      <c r="C2260" s="180"/>
    </row>
    <row r="2261" spans="3:3" s="181" customFormat="1" hidden="1" x14ac:dyDescent="0.2">
      <c r="C2261" s="180"/>
    </row>
    <row r="2262" spans="3:3" s="181" customFormat="1" hidden="1" x14ac:dyDescent="0.2">
      <c r="C2262" s="180"/>
    </row>
    <row r="2263" spans="3:3" s="181" customFormat="1" hidden="1" x14ac:dyDescent="0.2">
      <c r="C2263" s="180"/>
    </row>
    <row r="2264" spans="3:3" s="181" customFormat="1" hidden="1" x14ac:dyDescent="0.2">
      <c r="C2264" s="180"/>
    </row>
    <row r="2265" spans="3:3" s="181" customFormat="1" hidden="1" x14ac:dyDescent="0.2">
      <c r="C2265" s="180"/>
    </row>
    <row r="2266" spans="3:3" s="181" customFormat="1" hidden="1" x14ac:dyDescent="0.2">
      <c r="C2266" s="180"/>
    </row>
    <row r="2267" spans="3:3" s="181" customFormat="1" hidden="1" x14ac:dyDescent="0.2">
      <c r="C2267" s="180"/>
    </row>
    <row r="2268" spans="3:3" s="181" customFormat="1" hidden="1" x14ac:dyDescent="0.2">
      <c r="C2268" s="180"/>
    </row>
    <row r="2269" spans="3:3" s="181" customFormat="1" hidden="1" x14ac:dyDescent="0.2">
      <c r="C2269" s="180"/>
    </row>
    <row r="2270" spans="3:3" s="181" customFormat="1" hidden="1" x14ac:dyDescent="0.2">
      <c r="C2270" s="180"/>
    </row>
    <row r="2271" spans="3:3" s="181" customFormat="1" hidden="1" x14ac:dyDescent="0.2">
      <c r="C2271" s="180"/>
    </row>
    <row r="2272" spans="3:3" s="181" customFormat="1" hidden="1" x14ac:dyDescent="0.2">
      <c r="C2272" s="180"/>
    </row>
    <row r="2273" spans="3:3" s="181" customFormat="1" hidden="1" x14ac:dyDescent="0.2">
      <c r="C2273" s="180"/>
    </row>
    <row r="2274" spans="3:3" s="181" customFormat="1" hidden="1" x14ac:dyDescent="0.2">
      <c r="C2274" s="180"/>
    </row>
    <row r="2275" spans="3:3" s="181" customFormat="1" hidden="1" x14ac:dyDescent="0.2">
      <c r="C2275" s="180"/>
    </row>
    <row r="2276" spans="3:3" s="181" customFormat="1" hidden="1" x14ac:dyDescent="0.2">
      <c r="C2276" s="180"/>
    </row>
    <row r="2277" spans="3:3" s="181" customFormat="1" hidden="1" x14ac:dyDescent="0.2">
      <c r="C2277" s="180"/>
    </row>
    <row r="2278" spans="3:3" s="181" customFormat="1" hidden="1" x14ac:dyDescent="0.2">
      <c r="C2278" s="180"/>
    </row>
    <row r="2279" spans="3:3" s="181" customFormat="1" hidden="1" x14ac:dyDescent="0.2">
      <c r="C2279" s="180"/>
    </row>
    <row r="2280" spans="3:3" s="181" customFormat="1" hidden="1" x14ac:dyDescent="0.2">
      <c r="C2280" s="180"/>
    </row>
    <row r="2281" spans="3:3" s="181" customFormat="1" hidden="1" x14ac:dyDescent="0.2">
      <c r="C2281" s="180"/>
    </row>
    <row r="2282" spans="3:3" s="181" customFormat="1" hidden="1" x14ac:dyDescent="0.2">
      <c r="C2282" s="180"/>
    </row>
    <row r="2283" spans="3:3" s="181" customFormat="1" hidden="1" x14ac:dyDescent="0.2">
      <c r="C2283" s="180"/>
    </row>
    <row r="2284" spans="3:3" s="181" customFormat="1" hidden="1" x14ac:dyDescent="0.2">
      <c r="C2284" s="180"/>
    </row>
    <row r="2285" spans="3:3" s="181" customFormat="1" hidden="1" x14ac:dyDescent="0.2">
      <c r="C2285" s="180"/>
    </row>
    <row r="2286" spans="3:3" s="181" customFormat="1" hidden="1" x14ac:dyDescent="0.2">
      <c r="C2286" s="180"/>
    </row>
    <row r="2287" spans="3:3" s="181" customFormat="1" hidden="1" x14ac:dyDescent="0.2">
      <c r="C2287" s="180"/>
    </row>
    <row r="2288" spans="3:3" s="181" customFormat="1" hidden="1" x14ac:dyDescent="0.2">
      <c r="C2288" s="180"/>
    </row>
    <row r="2289" spans="3:3" s="181" customFormat="1" hidden="1" x14ac:dyDescent="0.2">
      <c r="C2289" s="180"/>
    </row>
    <row r="2290" spans="3:3" s="181" customFormat="1" hidden="1" x14ac:dyDescent="0.2">
      <c r="C2290" s="180"/>
    </row>
    <row r="2291" spans="3:3" s="181" customFormat="1" hidden="1" x14ac:dyDescent="0.2">
      <c r="C2291" s="180"/>
    </row>
    <row r="2292" spans="3:3" s="181" customFormat="1" hidden="1" x14ac:dyDescent="0.2">
      <c r="C2292" s="180"/>
    </row>
    <row r="2293" spans="3:3" s="181" customFormat="1" hidden="1" x14ac:dyDescent="0.2">
      <c r="C2293" s="180"/>
    </row>
    <row r="2294" spans="3:3" s="181" customFormat="1" hidden="1" x14ac:dyDescent="0.2">
      <c r="C2294" s="180"/>
    </row>
    <row r="2295" spans="3:3" s="181" customFormat="1" hidden="1" x14ac:dyDescent="0.2">
      <c r="C2295" s="180"/>
    </row>
    <row r="2296" spans="3:3" s="181" customFormat="1" hidden="1" x14ac:dyDescent="0.2">
      <c r="C2296" s="180"/>
    </row>
    <row r="2297" spans="3:3" s="181" customFormat="1" hidden="1" x14ac:dyDescent="0.2">
      <c r="C2297" s="180"/>
    </row>
    <row r="2298" spans="3:3" s="181" customFormat="1" hidden="1" x14ac:dyDescent="0.2">
      <c r="C2298" s="180"/>
    </row>
    <row r="2299" spans="3:3" s="181" customFormat="1" hidden="1" x14ac:dyDescent="0.2">
      <c r="C2299" s="180"/>
    </row>
    <row r="2300" spans="3:3" s="181" customFormat="1" hidden="1" x14ac:dyDescent="0.2">
      <c r="C2300" s="180"/>
    </row>
    <row r="2301" spans="3:3" s="181" customFormat="1" hidden="1" x14ac:dyDescent="0.2">
      <c r="C2301" s="180"/>
    </row>
    <row r="2302" spans="3:3" s="181" customFormat="1" hidden="1" x14ac:dyDescent="0.2">
      <c r="C2302" s="180"/>
    </row>
    <row r="2303" spans="3:3" s="181" customFormat="1" hidden="1" x14ac:dyDescent="0.2">
      <c r="C2303" s="180"/>
    </row>
    <row r="2304" spans="3:3" s="181" customFormat="1" hidden="1" x14ac:dyDescent="0.2">
      <c r="C2304" s="180"/>
    </row>
    <row r="2305" spans="3:3" s="181" customFormat="1" hidden="1" x14ac:dyDescent="0.2">
      <c r="C2305" s="180"/>
    </row>
    <row r="2306" spans="3:3" s="181" customFormat="1" hidden="1" x14ac:dyDescent="0.2">
      <c r="C2306" s="180"/>
    </row>
    <row r="2307" spans="3:3" s="181" customFormat="1" hidden="1" x14ac:dyDescent="0.2">
      <c r="C2307" s="180"/>
    </row>
    <row r="2308" spans="3:3" s="181" customFormat="1" hidden="1" x14ac:dyDescent="0.2">
      <c r="C2308" s="180"/>
    </row>
    <row r="2309" spans="3:3" s="181" customFormat="1" hidden="1" x14ac:dyDescent="0.2">
      <c r="C2309" s="180"/>
    </row>
    <row r="2310" spans="3:3" s="181" customFormat="1" hidden="1" x14ac:dyDescent="0.2">
      <c r="C2310" s="180"/>
    </row>
    <row r="2311" spans="3:3" s="181" customFormat="1" hidden="1" x14ac:dyDescent="0.2">
      <c r="C2311" s="180"/>
    </row>
    <row r="2312" spans="3:3" s="181" customFormat="1" hidden="1" x14ac:dyDescent="0.2">
      <c r="C2312" s="180"/>
    </row>
    <row r="2313" spans="3:3" s="181" customFormat="1" hidden="1" x14ac:dyDescent="0.2">
      <c r="C2313" s="180"/>
    </row>
    <row r="2314" spans="3:3" s="181" customFormat="1" hidden="1" x14ac:dyDescent="0.2">
      <c r="C2314" s="180"/>
    </row>
    <row r="2315" spans="3:3" s="181" customFormat="1" hidden="1" x14ac:dyDescent="0.2">
      <c r="C2315" s="180"/>
    </row>
    <row r="2316" spans="3:3" s="181" customFormat="1" hidden="1" x14ac:dyDescent="0.2">
      <c r="C2316" s="180"/>
    </row>
    <row r="2317" spans="3:3" s="181" customFormat="1" hidden="1" x14ac:dyDescent="0.2">
      <c r="C2317" s="180"/>
    </row>
    <row r="2318" spans="3:3" s="181" customFormat="1" hidden="1" x14ac:dyDescent="0.2">
      <c r="C2318" s="180"/>
    </row>
    <row r="2319" spans="3:3" s="181" customFormat="1" hidden="1" x14ac:dyDescent="0.2">
      <c r="C2319" s="180"/>
    </row>
    <row r="2320" spans="3:3" s="181" customFormat="1" hidden="1" x14ac:dyDescent="0.2">
      <c r="C2320" s="180"/>
    </row>
    <row r="2321" spans="3:3" s="181" customFormat="1" hidden="1" x14ac:dyDescent="0.2">
      <c r="C2321" s="180"/>
    </row>
    <row r="2322" spans="3:3" s="181" customFormat="1" hidden="1" x14ac:dyDescent="0.2">
      <c r="C2322" s="180"/>
    </row>
    <row r="2323" spans="3:3" s="181" customFormat="1" hidden="1" x14ac:dyDescent="0.2">
      <c r="C2323" s="180"/>
    </row>
    <row r="2324" spans="3:3" s="181" customFormat="1" hidden="1" x14ac:dyDescent="0.2">
      <c r="C2324" s="180"/>
    </row>
    <row r="2325" spans="3:3" s="181" customFormat="1" hidden="1" x14ac:dyDescent="0.2">
      <c r="C2325" s="180"/>
    </row>
    <row r="2326" spans="3:3" s="181" customFormat="1" hidden="1" x14ac:dyDescent="0.2">
      <c r="C2326" s="180"/>
    </row>
    <row r="2327" spans="3:3" s="181" customFormat="1" hidden="1" x14ac:dyDescent="0.2">
      <c r="C2327" s="180"/>
    </row>
    <row r="2328" spans="3:3" s="181" customFormat="1" hidden="1" x14ac:dyDescent="0.2">
      <c r="C2328" s="180"/>
    </row>
    <row r="2329" spans="3:3" s="181" customFormat="1" hidden="1" x14ac:dyDescent="0.2">
      <c r="C2329" s="180"/>
    </row>
    <row r="2330" spans="3:3" s="181" customFormat="1" hidden="1" x14ac:dyDescent="0.2">
      <c r="C2330" s="180"/>
    </row>
    <row r="2331" spans="3:3" s="181" customFormat="1" hidden="1" x14ac:dyDescent="0.2">
      <c r="C2331" s="180"/>
    </row>
    <row r="2332" spans="3:3" s="181" customFormat="1" hidden="1" x14ac:dyDescent="0.2">
      <c r="C2332" s="180"/>
    </row>
    <row r="2333" spans="3:3" s="181" customFormat="1" hidden="1" x14ac:dyDescent="0.2">
      <c r="C2333" s="180"/>
    </row>
    <row r="2334" spans="3:3" s="181" customFormat="1" hidden="1" x14ac:dyDescent="0.2">
      <c r="C2334" s="180"/>
    </row>
    <row r="2335" spans="3:3" s="181" customFormat="1" hidden="1" x14ac:dyDescent="0.2">
      <c r="C2335" s="180"/>
    </row>
    <row r="2336" spans="3:3" s="181" customFormat="1" hidden="1" x14ac:dyDescent="0.2">
      <c r="C2336" s="180"/>
    </row>
    <row r="2337" spans="3:3" s="181" customFormat="1" hidden="1" x14ac:dyDescent="0.2">
      <c r="C2337" s="180"/>
    </row>
    <row r="2338" spans="3:3" s="181" customFormat="1" hidden="1" x14ac:dyDescent="0.2">
      <c r="C2338" s="180"/>
    </row>
    <row r="2339" spans="3:3" s="181" customFormat="1" hidden="1" x14ac:dyDescent="0.2">
      <c r="C2339" s="180"/>
    </row>
    <row r="2340" spans="3:3" s="181" customFormat="1" hidden="1" x14ac:dyDescent="0.2">
      <c r="C2340" s="180"/>
    </row>
    <row r="2341" spans="3:3" s="181" customFormat="1" hidden="1" x14ac:dyDescent="0.2">
      <c r="C2341" s="180"/>
    </row>
    <row r="2342" spans="3:3" s="181" customFormat="1" hidden="1" x14ac:dyDescent="0.2">
      <c r="C2342" s="180"/>
    </row>
    <row r="2343" spans="3:3" s="181" customFormat="1" hidden="1" x14ac:dyDescent="0.2">
      <c r="C2343" s="180"/>
    </row>
    <row r="2344" spans="3:3" s="181" customFormat="1" hidden="1" x14ac:dyDescent="0.2">
      <c r="C2344" s="180"/>
    </row>
    <row r="2345" spans="3:3" s="181" customFormat="1" hidden="1" x14ac:dyDescent="0.2">
      <c r="C2345" s="180"/>
    </row>
    <row r="2346" spans="3:3" s="181" customFormat="1" hidden="1" x14ac:dyDescent="0.2">
      <c r="C2346" s="180"/>
    </row>
    <row r="2347" spans="3:3" s="181" customFormat="1" hidden="1" x14ac:dyDescent="0.2">
      <c r="C2347" s="180"/>
    </row>
    <row r="2348" spans="3:3" s="181" customFormat="1" hidden="1" x14ac:dyDescent="0.2">
      <c r="C2348" s="180"/>
    </row>
    <row r="2349" spans="3:3" s="181" customFormat="1" hidden="1" x14ac:dyDescent="0.2">
      <c r="C2349" s="180"/>
    </row>
    <row r="2350" spans="3:3" s="181" customFormat="1" hidden="1" x14ac:dyDescent="0.2">
      <c r="C2350" s="180"/>
    </row>
    <row r="2351" spans="3:3" s="181" customFormat="1" hidden="1" x14ac:dyDescent="0.2">
      <c r="C2351" s="180"/>
    </row>
    <row r="2352" spans="3:3" s="181" customFormat="1" hidden="1" x14ac:dyDescent="0.2">
      <c r="C2352" s="180"/>
    </row>
    <row r="2353" spans="3:3" s="181" customFormat="1" hidden="1" x14ac:dyDescent="0.2">
      <c r="C2353" s="180"/>
    </row>
    <row r="2354" spans="3:3" s="181" customFormat="1" hidden="1" x14ac:dyDescent="0.2">
      <c r="C2354" s="180"/>
    </row>
    <row r="2355" spans="3:3" s="181" customFormat="1" hidden="1" x14ac:dyDescent="0.2">
      <c r="C2355" s="180"/>
    </row>
    <row r="2356" spans="3:3" s="181" customFormat="1" hidden="1" x14ac:dyDescent="0.2">
      <c r="C2356" s="180"/>
    </row>
    <row r="2357" spans="3:3" s="181" customFormat="1" hidden="1" x14ac:dyDescent="0.2">
      <c r="C2357" s="180"/>
    </row>
    <row r="2358" spans="3:3" s="181" customFormat="1" hidden="1" x14ac:dyDescent="0.2">
      <c r="C2358" s="180"/>
    </row>
    <row r="2359" spans="3:3" s="181" customFormat="1" hidden="1" x14ac:dyDescent="0.2">
      <c r="C2359" s="180"/>
    </row>
    <row r="2360" spans="3:3" s="181" customFormat="1" hidden="1" x14ac:dyDescent="0.2">
      <c r="C2360" s="180"/>
    </row>
    <row r="2361" spans="3:3" s="181" customFormat="1" hidden="1" x14ac:dyDescent="0.2">
      <c r="C2361" s="180"/>
    </row>
    <row r="2362" spans="3:3" s="181" customFormat="1" hidden="1" x14ac:dyDescent="0.2">
      <c r="C2362" s="180"/>
    </row>
    <row r="2363" spans="3:3" s="181" customFormat="1" hidden="1" x14ac:dyDescent="0.2">
      <c r="C2363" s="180"/>
    </row>
    <row r="2364" spans="3:3" s="181" customFormat="1" hidden="1" x14ac:dyDescent="0.2">
      <c r="C2364" s="180"/>
    </row>
    <row r="2365" spans="3:3" s="181" customFormat="1" hidden="1" x14ac:dyDescent="0.2">
      <c r="C2365" s="180"/>
    </row>
    <row r="2366" spans="3:3" s="181" customFormat="1" hidden="1" x14ac:dyDescent="0.2">
      <c r="C2366" s="180"/>
    </row>
    <row r="2367" spans="3:3" s="181" customFormat="1" hidden="1" x14ac:dyDescent="0.2">
      <c r="C2367" s="180"/>
    </row>
    <row r="2368" spans="3:3" s="181" customFormat="1" hidden="1" x14ac:dyDescent="0.2">
      <c r="C2368" s="180"/>
    </row>
    <row r="2369" spans="3:3" s="181" customFormat="1" hidden="1" x14ac:dyDescent="0.2">
      <c r="C2369" s="180"/>
    </row>
    <row r="2370" spans="3:3" s="181" customFormat="1" hidden="1" x14ac:dyDescent="0.2">
      <c r="C2370" s="180"/>
    </row>
    <row r="2371" spans="3:3" s="181" customFormat="1" hidden="1" x14ac:dyDescent="0.2">
      <c r="C2371" s="180"/>
    </row>
    <row r="2372" spans="3:3" s="181" customFormat="1" hidden="1" x14ac:dyDescent="0.2">
      <c r="C2372" s="180"/>
    </row>
    <row r="2373" spans="3:3" s="181" customFormat="1" hidden="1" x14ac:dyDescent="0.2">
      <c r="C2373" s="180"/>
    </row>
    <row r="2374" spans="3:3" s="181" customFormat="1" hidden="1" x14ac:dyDescent="0.2">
      <c r="C2374" s="180"/>
    </row>
    <row r="2375" spans="3:3" s="181" customFormat="1" hidden="1" x14ac:dyDescent="0.2">
      <c r="C2375" s="180"/>
    </row>
    <row r="2376" spans="3:3" s="181" customFormat="1" hidden="1" x14ac:dyDescent="0.2">
      <c r="C2376" s="180"/>
    </row>
    <row r="2377" spans="3:3" s="181" customFormat="1" hidden="1" x14ac:dyDescent="0.2">
      <c r="C2377" s="180"/>
    </row>
    <row r="2378" spans="3:3" s="181" customFormat="1" hidden="1" x14ac:dyDescent="0.2">
      <c r="C2378" s="180"/>
    </row>
    <row r="2379" spans="3:3" s="181" customFormat="1" hidden="1" x14ac:dyDescent="0.2">
      <c r="C2379" s="180"/>
    </row>
    <row r="2380" spans="3:3" s="181" customFormat="1" hidden="1" x14ac:dyDescent="0.2">
      <c r="C2380" s="180"/>
    </row>
    <row r="2381" spans="3:3" s="181" customFormat="1" hidden="1" x14ac:dyDescent="0.2">
      <c r="C2381" s="180"/>
    </row>
    <row r="2382" spans="3:3" s="181" customFormat="1" hidden="1" x14ac:dyDescent="0.2">
      <c r="C2382" s="180"/>
    </row>
    <row r="2383" spans="3:3" s="181" customFormat="1" hidden="1" x14ac:dyDescent="0.2">
      <c r="C2383" s="180"/>
    </row>
    <row r="2384" spans="3:3" s="181" customFormat="1" hidden="1" x14ac:dyDescent="0.2">
      <c r="C2384" s="180"/>
    </row>
    <row r="2385" spans="3:3" s="181" customFormat="1" hidden="1" x14ac:dyDescent="0.2">
      <c r="C2385" s="180"/>
    </row>
    <row r="2386" spans="3:3" s="181" customFormat="1" hidden="1" x14ac:dyDescent="0.2">
      <c r="C2386" s="180"/>
    </row>
    <row r="2387" spans="3:3" s="181" customFormat="1" hidden="1" x14ac:dyDescent="0.2">
      <c r="C2387" s="180"/>
    </row>
    <row r="2388" spans="3:3" s="181" customFormat="1" hidden="1" x14ac:dyDescent="0.2">
      <c r="C2388" s="180"/>
    </row>
    <row r="2389" spans="3:3" s="181" customFormat="1" hidden="1" x14ac:dyDescent="0.2">
      <c r="C2389" s="180"/>
    </row>
    <row r="2390" spans="3:3" s="181" customFormat="1" hidden="1" x14ac:dyDescent="0.2">
      <c r="C2390" s="180"/>
    </row>
    <row r="2391" spans="3:3" s="181" customFormat="1" hidden="1" x14ac:dyDescent="0.2">
      <c r="C2391" s="180"/>
    </row>
    <row r="2392" spans="3:3" s="181" customFormat="1" hidden="1" x14ac:dyDescent="0.2">
      <c r="C2392" s="180"/>
    </row>
    <row r="2393" spans="3:3" s="181" customFormat="1" hidden="1" x14ac:dyDescent="0.2">
      <c r="C2393" s="180"/>
    </row>
    <row r="2394" spans="3:3" s="181" customFormat="1" hidden="1" x14ac:dyDescent="0.2">
      <c r="C2394" s="180"/>
    </row>
    <row r="2395" spans="3:3" s="181" customFormat="1" hidden="1" x14ac:dyDescent="0.2">
      <c r="C2395" s="180"/>
    </row>
    <row r="2396" spans="3:3" s="181" customFormat="1" hidden="1" x14ac:dyDescent="0.2">
      <c r="C2396" s="180"/>
    </row>
    <row r="2397" spans="3:3" s="181" customFormat="1" hidden="1" x14ac:dyDescent="0.2">
      <c r="C2397" s="180"/>
    </row>
    <row r="2398" spans="3:3" s="181" customFormat="1" hidden="1" x14ac:dyDescent="0.2">
      <c r="C2398" s="180"/>
    </row>
    <row r="2399" spans="3:3" s="181" customFormat="1" hidden="1" x14ac:dyDescent="0.2">
      <c r="C2399" s="180"/>
    </row>
    <row r="2400" spans="3:3" s="181" customFormat="1" hidden="1" x14ac:dyDescent="0.2">
      <c r="C2400" s="180"/>
    </row>
    <row r="2401" spans="3:3" s="181" customFormat="1" hidden="1" x14ac:dyDescent="0.2">
      <c r="C2401" s="180"/>
    </row>
    <row r="2402" spans="3:3" s="181" customFormat="1" hidden="1" x14ac:dyDescent="0.2">
      <c r="C2402" s="180"/>
    </row>
    <row r="2403" spans="3:3" s="181" customFormat="1" hidden="1" x14ac:dyDescent="0.2">
      <c r="C2403" s="180"/>
    </row>
    <row r="2404" spans="3:3" s="181" customFormat="1" hidden="1" x14ac:dyDescent="0.2">
      <c r="C2404" s="180"/>
    </row>
    <row r="2405" spans="3:3" s="181" customFormat="1" hidden="1" x14ac:dyDescent="0.2">
      <c r="C2405" s="180"/>
    </row>
    <row r="2406" spans="3:3" s="181" customFormat="1" hidden="1" x14ac:dyDescent="0.2">
      <c r="C2406" s="180"/>
    </row>
    <row r="2407" spans="3:3" s="181" customFormat="1" hidden="1" x14ac:dyDescent="0.2">
      <c r="C2407" s="180"/>
    </row>
    <row r="2408" spans="3:3" s="181" customFormat="1" hidden="1" x14ac:dyDescent="0.2">
      <c r="C2408" s="180"/>
    </row>
    <row r="2409" spans="3:3" s="181" customFormat="1" hidden="1" x14ac:dyDescent="0.2">
      <c r="C2409" s="180"/>
    </row>
    <row r="2410" spans="3:3" s="181" customFormat="1" hidden="1" x14ac:dyDescent="0.2">
      <c r="C2410" s="180"/>
    </row>
    <row r="2411" spans="3:3" s="181" customFormat="1" hidden="1" x14ac:dyDescent="0.2">
      <c r="C2411" s="180"/>
    </row>
    <row r="2412" spans="3:3" s="181" customFormat="1" hidden="1" x14ac:dyDescent="0.2">
      <c r="C2412" s="180"/>
    </row>
    <row r="2413" spans="3:3" s="181" customFormat="1" hidden="1" x14ac:dyDescent="0.2">
      <c r="C2413" s="180"/>
    </row>
    <row r="2414" spans="3:3" s="181" customFormat="1" hidden="1" x14ac:dyDescent="0.2">
      <c r="C2414" s="180"/>
    </row>
    <row r="2415" spans="3:3" s="181" customFormat="1" hidden="1" x14ac:dyDescent="0.2">
      <c r="C2415" s="180"/>
    </row>
    <row r="2416" spans="3:3" s="181" customFormat="1" hidden="1" x14ac:dyDescent="0.2">
      <c r="C2416" s="180"/>
    </row>
    <row r="2417" spans="3:3" s="181" customFormat="1" hidden="1" x14ac:dyDescent="0.2">
      <c r="C2417" s="180"/>
    </row>
    <row r="2418" spans="3:3" s="181" customFormat="1" hidden="1" x14ac:dyDescent="0.2">
      <c r="C2418" s="180"/>
    </row>
    <row r="2419" spans="3:3" s="181" customFormat="1" hidden="1" x14ac:dyDescent="0.2">
      <c r="C2419" s="180"/>
    </row>
    <row r="2420" spans="3:3" s="181" customFormat="1" hidden="1" x14ac:dyDescent="0.2">
      <c r="C2420" s="180"/>
    </row>
    <row r="2421" spans="3:3" s="181" customFormat="1" hidden="1" x14ac:dyDescent="0.2">
      <c r="C2421" s="180"/>
    </row>
    <row r="2422" spans="3:3" s="181" customFormat="1" hidden="1" x14ac:dyDescent="0.2">
      <c r="C2422" s="180"/>
    </row>
    <row r="2423" spans="3:3" s="181" customFormat="1" hidden="1" x14ac:dyDescent="0.2">
      <c r="C2423" s="180"/>
    </row>
    <row r="2424" spans="3:3" s="181" customFormat="1" hidden="1" x14ac:dyDescent="0.2">
      <c r="C2424" s="180"/>
    </row>
    <row r="2425" spans="3:3" s="181" customFormat="1" hidden="1" x14ac:dyDescent="0.2">
      <c r="C2425" s="180"/>
    </row>
    <row r="2426" spans="3:3" s="181" customFormat="1" hidden="1" x14ac:dyDescent="0.2">
      <c r="C2426" s="180"/>
    </row>
    <row r="2427" spans="3:3" s="181" customFormat="1" hidden="1" x14ac:dyDescent="0.2">
      <c r="C2427" s="180"/>
    </row>
    <row r="2428" spans="3:3" s="181" customFormat="1" hidden="1" x14ac:dyDescent="0.2">
      <c r="C2428" s="180"/>
    </row>
    <row r="2429" spans="3:3" s="181" customFormat="1" hidden="1" x14ac:dyDescent="0.2">
      <c r="C2429" s="180"/>
    </row>
    <row r="2430" spans="3:3" s="181" customFormat="1" hidden="1" x14ac:dyDescent="0.2">
      <c r="C2430" s="180"/>
    </row>
    <row r="2431" spans="3:3" s="181" customFormat="1" hidden="1" x14ac:dyDescent="0.2">
      <c r="C2431" s="180"/>
    </row>
    <row r="2432" spans="3:3" s="181" customFormat="1" hidden="1" x14ac:dyDescent="0.2">
      <c r="C2432" s="180"/>
    </row>
    <row r="2433" spans="3:3" s="181" customFormat="1" hidden="1" x14ac:dyDescent="0.2">
      <c r="C2433" s="180"/>
    </row>
    <row r="2434" spans="3:3" s="181" customFormat="1" hidden="1" x14ac:dyDescent="0.2">
      <c r="C2434" s="180"/>
    </row>
    <row r="2435" spans="3:3" s="181" customFormat="1" hidden="1" x14ac:dyDescent="0.2">
      <c r="C2435" s="180"/>
    </row>
    <row r="2436" spans="3:3" s="181" customFormat="1" hidden="1" x14ac:dyDescent="0.2">
      <c r="C2436" s="180"/>
    </row>
    <row r="2437" spans="3:3" s="181" customFormat="1" hidden="1" x14ac:dyDescent="0.2">
      <c r="C2437" s="180"/>
    </row>
    <row r="2438" spans="3:3" s="181" customFormat="1" hidden="1" x14ac:dyDescent="0.2">
      <c r="C2438" s="180"/>
    </row>
    <row r="2439" spans="3:3" s="181" customFormat="1" hidden="1" x14ac:dyDescent="0.2">
      <c r="C2439" s="180"/>
    </row>
    <row r="2440" spans="3:3" s="181" customFormat="1" hidden="1" x14ac:dyDescent="0.2">
      <c r="C2440" s="180"/>
    </row>
    <row r="2441" spans="3:3" s="181" customFormat="1" hidden="1" x14ac:dyDescent="0.2">
      <c r="C2441" s="180"/>
    </row>
    <row r="2442" spans="3:3" s="181" customFormat="1" hidden="1" x14ac:dyDescent="0.2">
      <c r="C2442" s="180"/>
    </row>
    <row r="2443" spans="3:3" s="181" customFormat="1" hidden="1" x14ac:dyDescent="0.2">
      <c r="C2443" s="180"/>
    </row>
    <row r="2444" spans="3:3" s="181" customFormat="1" hidden="1" x14ac:dyDescent="0.2">
      <c r="C2444" s="180"/>
    </row>
    <row r="2445" spans="3:3" s="181" customFormat="1" hidden="1" x14ac:dyDescent="0.2">
      <c r="C2445" s="180"/>
    </row>
    <row r="2446" spans="3:3" s="181" customFormat="1" hidden="1" x14ac:dyDescent="0.2">
      <c r="C2446" s="180"/>
    </row>
    <row r="2447" spans="3:3" s="181" customFormat="1" hidden="1" x14ac:dyDescent="0.2">
      <c r="C2447" s="180"/>
    </row>
    <row r="2448" spans="3:3" s="181" customFormat="1" hidden="1" x14ac:dyDescent="0.2">
      <c r="C2448" s="180"/>
    </row>
    <row r="2449" spans="3:3" s="181" customFormat="1" hidden="1" x14ac:dyDescent="0.2">
      <c r="C2449" s="180"/>
    </row>
    <row r="2450" spans="3:3" s="181" customFormat="1" hidden="1" x14ac:dyDescent="0.2">
      <c r="C2450" s="180"/>
    </row>
    <row r="2451" spans="3:3" s="181" customFormat="1" hidden="1" x14ac:dyDescent="0.2">
      <c r="C2451" s="180"/>
    </row>
    <row r="2452" spans="3:3" s="181" customFormat="1" hidden="1" x14ac:dyDescent="0.2">
      <c r="C2452" s="180"/>
    </row>
    <row r="2453" spans="3:3" s="181" customFormat="1" hidden="1" x14ac:dyDescent="0.2">
      <c r="C2453" s="180"/>
    </row>
    <row r="2454" spans="3:3" s="181" customFormat="1" hidden="1" x14ac:dyDescent="0.2">
      <c r="C2454" s="180"/>
    </row>
    <row r="2455" spans="3:3" s="181" customFormat="1" hidden="1" x14ac:dyDescent="0.2">
      <c r="C2455" s="180"/>
    </row>
    <row r="2456" spans="3:3" s="181" customFormat="1" hidden="1" x14ac:dyDescent="0.2">
      <c r="C2456" s="180"/>
    </row>
    <row r="2457" spans="3:3" s="181" customFormat="1" hidden="1" x14ac:dyDescent="0.2">
      <c r="C2457" s="180"/>
    </row>
    <row r="2458" spans="3:3" s="181" customFormat="1" hidden="1" x14ac:dyDescent="0.2">
      <c r="C2458" s="180"/>
    </row>
    <row r="2459" spans="3:3" s="181" customFormat="1" hidden="1" x14ac:dyDescent="0.2">
      <c r="C2459" s="180"/>
    </row>
    <row r="2460" spans="3:3" s="181" customFormat="1" hidden="1" x14ac:dyDescent="0.2">
      <c r="C2460" s="180"/>
    </row>
    <row r="2461" spans="3:3" s="181" customFormat="1" hidden="1" x14ac:dyDescent="0.2">
      <c r="C2461" s="180"/>
    </row>
    <row r="2462" spans="3:3" s="181" customFormat="1" hidden="1" x14ac:dyDescent="0.2">
      <c r="C2462" s="180"/>
    </row>
    <row r="2463" spans="3:3" s="181" customFormat="1" hidden="1" x14ac:dyDescent="0.2">
      <c r="C2463" s="180"/>
    </row>
    <row r="2464" spans="3:3" s="181" customFormat="1" hidden="1" x14ac:dyDescent="0.2">
      <c r="C2464" s="180"/>
    </row>
    <row r="2465" spans="3:3" s="181" customFormat="1" hidden="1" x14ac:dyDescent="0.2">
      <c r="C2465" s="180"/>
    </row>
    <row r="2466" spans="3:3" s="181" customFormat="1" hidden="1" x14ac:dyDescent="0.2">
      <c r="C2466" s="180"/>
    </row>
    <row r="2467" spans="3:3" s="181" customFormat="1" hidden="1" x14ac:dyDescent="0.2">
      <c r="C2467" s="180"/>
    </row>
    <row r="2468" spans="3:3" s="181" customFormat="1" hidden="1" x14ac:dyDescent="0.2">
      <c r="C2468" s="180"/>
    </row>
    <row r="2469" spans="3:3" s="181" customFormat="1" hidden="1" x14ac:dyDescent="0.2">
      <c r="C2469" s="180"/>
    </row>
    <row r="2470" spans="3:3" s="181" customFormat="1" hidden="1" x14ac:dyDescent="0.2">
      <c r="C2470" s="180"/>
    </row>
    <row r="2471" spans="3:3" s="181" customFormat="1" hidden="1" x14ac:dyDescent="0.2">
      <c r="C2471" s="180"/>
    </row>
    <row r="2472" spans="3:3" s="181" customFormat="1" hidden="1" x14ac:dyDescent="0.2">
      <c r="C2472" s="180"/>
    </row>
    <row r="2473" spans="3:3" s="181" customFormat="1" hidden="1" x14ac:dyDescent="0.2">
      <c r="C2473" s="180"/>
    </row>
    <row r="2474" spans="3:3" s="181" customFormat="1" hidden="1" x14ac:dyDescent="0.2">
      <c r="C2474" s="180"/>
    </row>
    <row r="2475" spans="3:3" s="181" customFormat="1" hidden="1" x14ac:dyDescent="0.2">
      <c r="C2475" s="180"/>
    </row>
    <row r="2476" spans="3:3" s="181" customFormat="1" hidden="1" x14ac:dyDescent="0.2">
      <c r="C2476" s="180"/>
    </row>
    <row r="2477" spans="3:3" s="181" customFormat="1" hidden="1" x14ac:dyDescent="0.2">
      <c r="C2477" s="180"/>
    </row>
    <row r="2478" spans="3:3" s="181" customFormat="1" hidden="1" x14ac:dyDescent="0.2">
      <c r="C2478" s="180"/>
    </row>
    <row r="2479" spans="3:3" s="181" customFormat="1" hidden="1" x14ac:dyDescent="0.2">
      <c r="C2479" s="180"/>
    </row>
    <row r="2480" spans="3:3" s="181" customFormat="1" hidden="1" x14ac:dyDescent="0.2">
      <c r="C2480" s="180"/>
    </row>
    <row r="2481" spans="3:3" s="181" customFormat="1" hidden="1" x14ac:dyDescent="0.2">
      <c r="C2481" s="180"/>
    </row>
    <row r="2482" spans="3:3" s="181" customFormat="1" hidden="1" x14ac:dyDescent="0.2">
      <c r="C2482" s="180"/>
    </row>
    <row r="2483" spans="3:3" s="181" customFormat="1" hidden="1" x14ac:dyDescent="0.2">
      <c r="C2483" s="180"/>
    </row>
    <row r="2484" spans="3:3" s="181" customFormat="1" hidden="1" x14ac:dyDescent="0.2">
      <c r="C2484" s="180"/>
    </row>
    <row r="2485" spans="3:3" s="181" customFormat="1" hidden="1" x14ac:dyDescent="0.2">
      <c r="C2485" s="180"/>
    </row>
    <row r="2486" spans="3:3" s="181" customFormat="1" hidden="1" x14ac:dyDescent="0.2">
      <c r="C2486" s="180"/>
    </row>
    <row r="2487" spans="3:3" s="181" customFormat="1" hidden="1" x14ac:dyDescent="0.2">
      <c r="C2487" s="180"/>
    </row>
    <row r="2488" spans="3:3" s="181" customFormat="1" hidden="1" x14ac:dyDescent="0.2">
      <c r="C2488" s="180"/>
    </row>
    <row r="2489" spans="3:3" s="181" customFormat="1" hidden="1" x14ac:dyDescent="0.2">
      <c r="C2489" s="180"/>
    </row>
    <row r="2490" spans="3:3" s="181" customFormat="1" hidden="1" x14ac:dyDescent="0.2">
      <c r="C2490" s="180"/>
    </row>
    <row r="2491" spans="3:3" s="181" customFormat="1" hidden="1" x14ac:dyDescent="0.2">
      <c r="C2491" s="180"/>
    </row>
    <row r="2492" spans="3:3" s="181" customFormat="1" hidden="1" x14ac:dyDescent="0.2">
      <c r="C2492" s="180"/>
    </row>
    <row r="2493" spans="3:3" s="181" customFormat="1" hidden="1" x14ac:dyDescent="0.2">
      <c r="C2493" s="180"/>
    </row>
    <row r="2494" spans="3:3" s="181" customFormat="1" hidden="1" x14ac:dyDescent="0.2">
      <c r="C2494" s="180"/>
    </row>
    <row r="2495" spans="3:3" s="181" customFormat="1" hidden="1" x14ac:dyDescent="0.2">
      <c r="C2495" s="180"/>
    </row>
    <row r="2496" spans="3:3" s="181" customFormat="1" hidden="1" x14ac:dyDescent="0.2">
      <c r="C2496" s="180"/>
    </row>
    <row r="2497" spans="3:3" s="181" customFormat="1" hidden="1" x14ac:dyDescent="0.2">
      <c r="C2497" s="180"/>
    </row>
    <row r="2498" spans="3:3" s="181" customFormat="1" hidden="1" x14ac:dyDescent="0.2">
      <c r="C2498" s="180"/>
    </row>
    <row r="2499" spans="3:3" s="181" customFormat="1" hidden="1" x14ac:dyDescent="0.2">
      <c r="C2499" s="180"/>
    </row>
    <row r="2500" spans="3:3" s="181" customFormat="1" hidden="1" x14ac:dyDescent="0.2">
      <c r="C2500" s="180"/>
    </row>
    <row r="2501" spans="3:3" s="181" customFormat="1" hidden="1" x14ac:dyDescent="0.2">
      <c r="C2501" s="180"/>
    </row>
    <row r="2502" spans="3:3" s="181" customFormat="1" hidden="1" x14ac:dyDescent="0.2">
      <c r="C2502" s="180"/>
    </row>
    <row r="2503" spans="3:3" s="181" customFormat="1" hidden="1" x14ac:dyDescent="0.2">
      <c r="C2503" s="180"/>
    </row>
    <row r="2504" spans="3:3" s="181" customFormat="1" hidden="1" x14ac:dyDescent="0.2">
      <c r="C2504" s="180"/>
    </row>
    <row r="2505" spans="3:3" s="181" customFormat="1" hidden="1" x14ac:dyDescent="0.2">
      <c r="C2505" s="180"/>
    </row>
    <row r="2506" spans="3:3" s="181" customFormat="1" hidden="1" x14ac:dyDescent="0.2">
      <c r="C2506" s="180"/>
    </row>
    <row r="2507" spans="3:3" s="181" customFormat="1" hidden="1" x14ac:dyDescent="0.2">
      <c r="C2507" s="180"/>
    </row>
    <row r="2508" spans="3:3" s="181" customFormat="1" hidden="1" x14ac:dyDescent="0.2">
      <c r="C2508" s="180"/>
    </row>
    <row r="2509" spans="3:3" s="181" customFormat="1" hidden="1" x14ac:dyDescent="0.2">
      <c r="C2509" s="180"/>
    </row>
    <row r="2510" spans="3:3" s="181" customFormat="1" hidden="1" x14ac:dyDescent="0.2">
      <c r="C2510" s="180"/>
    </row>
    <row r="2511" spans="3:3" s="181" customFormat="1" hidden="1" x14ac:dyDescent="0.2">
      <c r="C2511" s="180"/>
    </row>
    <row r="2512" spans="3:3" s="181" customFormat="1" hidden="1" x14ac:dyDescent="0.2">
      <c r="C2512" s="180"/>
    </row>
    <row r="2513" spans="3:3" s="181" customFormat="1" hidden="1" x14ac:dyDescent="0.2">
      <c r="C2513" s="180"/>
    </row>
    <row r="2514" spans="3:3" s="181" customFormat="1" hidden="1" x14ac:dyDescent="0.2">
      <c r="C2514" s="180"/>
    </row>
    <row r="2515" spans="3:3" s="181" customFormat="1" hidden="1" x14ac:dyDescent="0.2">
      <c r="C2515" s="180"/>
    </row>
    <row r="2516" spans="3:3" s="181" customFormat="1" hidden="1" x14ac:dyDescent="0.2">
      <c r="C2516" s="180"/>
    </row>
    <row r="2517" spans="3:3" s="181" customFormat="1" hidden="1" x14ac:dyDescent="0.2">
      <c r="C2517" s="180"/>
    </row>
    <row r="2518" spans="3:3" s="181" customFormat="1" hidden="1" x14ac:dyDescent="0.2">
      <c r="C2518" s="180"/>
    </row>
    <row r="2519" spans="3:3" s="181" customFormat="1" hidden="1" x14ac:dyDescent="0.2">
      <c r="C2519" s="180"/>
    </row>
    <row r="2520" spans="3:3" s="181" customFormat="1" hidden="1" x14ac:dyDescent="0.2">
      <c r="C2520" s="180"/>
    </row>
    <row r="2521" spans="3:3" s="181" customFormat="1" hidden="1" x14ac:dyDescent="0.2">
      <c r="C2521" s="180"/>
    </row>
    <row r="2522" spans="3:3" s="181" customFormat="1" hidden="1" x14ac:dyDescent="0.2">
      <c r="C2522" s="180"/>
    </row>
    <row r="2523" spans="3:3" s="181" customFormat="1" hidden="1" x14ac:dyDescent="0.2">
      <c r="C2523" s="180"/>
    </row>
    <row r="2524" spans="3:3" s="181" customFormat="1" hidden="1" x14ac:dyDescent="0.2">
      <c r="C2524" s="180"/>
    </row>
    <row r="2525" spans="3:3" s="181" customFormat="1" hidden="1" x14ac:dyDescent="0.2">
      <c r="C2525" s="180"/>
    </row>
    <row r="2526" spans="3:3" s="181" customFormat="1" hidden="1" x14ac:dyDescent="0.2">
      <c r="C2526" s="180"/>
    </row>
    <row r="2527" spans="3:3" s="181" customFormat="1" hidden="1" x14ac:dyDescent="0.2">
      <c r="C2527" s="180"/>
    </row>
    <row r="2528" spans="3:3" s="181" customFormat="1" hidden="1" x14ac:dyDescent="0.2">
      <c r="C2528" s="180"/>
    </row>
    <row r="2529" spans="3:3" s="181" customFormat="1" hidden="1" x14ac:dyDescent="0.2">
      <c r="C2529" s="180"/>
    </row>
    <row r="2530" spans="3:3" s="181" customFormat="1" hidden="1" x14ac:dyDescent="0.2">
      <c r="C2530" s="180"/>
    </row>
    <row r="2531" spans="3:3" s="181" customFormat="1" hidden="1" x14ac:dyDescent="0.2">
      <c r="C2531" s="180"/>
    </row>
    <row r="2532" spans="3:3" s="181" customFormat="1" hidden="1" x14ac:dyDescent="0.2">
      <c r="C2532" s="180"/>
    </row>
    <row r="2533" spans="3:3" s="181" customFormat="1" hidden="1" x14ac:dyDescent="0.2">
      <c r="C2533" s="180"/>
    </row>
    <row r="2534" spans="3:3" s="181" customFormat="1" hidden="1" x14ac:dyDescent="0.2">
      <c r="C2534" s="180"/>
    </row>
    <row r="2535" spans="3:3" s="181" customFormat="1" hidden="1" x14ac:dyDescent="0.2">
      <c r="C2535" s="180"/>
    </row>
    <row r="2536" spans="3:3" s="181" customFormat="1" hidden="1" x14ac:dyDescent="0.2">
      <c r="C2536" s="180"/>
    </row>
    <row r="2537" spans="3:3" s="181" customFormat="1" hidden="1" x14ac:dyDescent="0.2">
      <c r="C2537" s="180"/>
    </row>
    <row r="2538" spans="3:3" s="181" customFormat="1" hidden="1" x14ac:dyDescent="0.2">
      <c r="C2538" s="180"/>
    </row>
    <row r="2539" spans="3:3" s="181" customFormat="1" hidden="1" x14ac:dyDescent="0.2">
      <c r="C2539" s="180"/>
    </row>
    <row r="2540" spans="3:3" s="181" customFormat="1" hidden="1" x14ac:dyDescent="0.2">
      <c r="C2540" s="180"/>
    </row>
    <row r="2541" spans="3:3" s="181" customFormat="1" hidden="1" x14ac:dyDescent="0.2">
      <c r="C2541" s="180"/>
    </row>
    <row r="2542" spans="3:3" s="181" customFormat="1" hidden="1" x14ac:dyDescent="0.2">
      <c r="C2542" s="180"/>
    </row>
    <row r="2543" spans="3:3" s="181" customFormat="1" hidden="1" x14ac:dyDescent="0.2">
      <c r="C2543" s="180"/>
    </row>
    <row r="2544" spans="3:3" s="181" customFormat="1" hidden="1" x14ac:dyDescent="0.2">
      <c r="C2544" s="180"/>
    </row>
    <row r="2545" spans="3:3" s="181" customFormat="1" hidden="1" x14ac:dyDescent="0.2">
      <c r="C2545" s="180"/>
    </row>
    <row r="2546" spans="3:3" s="181" customFormat="1" hidden="1" x14ac:dyDescent="0.2">
      <c r="C2546" s="180"/>
    </row>
    <row r="2547" spans="3:3" s="181" customFormat="1" hidden="1" x14ac:dyDescent="0.2">
      <c r="C2547" s="180"/>
    </row>
    <row r="2548" spans="3:3" s="181" customFormat="1" hidden="1" x14ac:dyDescent="0.2">
      <c r="C2548" s="180"/>
    </row>
    <row r="2549" spans="3:3" s="181" customFormat="1" hidden="1" x14ac:dyDescent="0.2">
      <c r="C2549" s="180"/>
    </row>
    <row r="2550" spans="3:3" s="181" customFormat="1" hidden="1" x14ac:dyDescent="0.2">
      <c r="C2550" s="180"/>
    </row>
    <row r="2551" spans="3:3" s="181" customFormat="1" hidden="1" x14ac:dyDescent="0.2">
      <c r="C2551" s="180"/>
    </row>
    <row r="2552" spans="3:3" s="181" customFormat="1" hidden="1" x14ac:dyDescent="0.2">
      <c r="C2552" s="180"/>
    </row>
    <row r="2553" spans="3:3" s="181" customFormat="1" hidden="1" x14ac:dyDescent="0.2">
      <c r="C2553" s="180"/>
    </row>
    <row r="2554" spans="3:3" s="181" customFormat="1" hidden="1" x14ac:dyDescent="0.2">
      <c r="C2554" s="180"/>
    </row>
    <row r="2555" spans="3:3" s="181" customFormat="1" hidden="1" x14ac:dyDescent="0.2">
      <c r="C2555" s="180"/>
    </row>
    <row r="2556" spans="3:3" s="181" customFormat="1" hidden="1" x14ac:dyDescent="0.2">
      <c r="C2556" s="180"/>
    </row>
    <row r="2557" spans="3:3" s="181" customFormat="1" hidden="1" x14ac:dyDescent="0.2">
      <c r="C2557" s="180"/>
    </row>
    <row r="2558" spans="3:3" s="181" customFormat="1" hidden="1" x14ac:dyDescent="0.2">
      <c r="C2558" s="180"/>
    </row>
    <row r="2559" spans="3:3" s="181" customFormat="1" hidden="1" x14ac:dyDescent="0.2">
      <c r="C2559" s="180"/>
    </row>
    <row r="2560" spans="3:3" s="181" customFormat="1" hidden="1" x14ac:dyDescent="0.2">
      <c r="C2560" s="180"/>
    </row>
    <row r="2561" spans="3:3" s="181" customFormat="1" hidden="1" x14ac:dyDescent="0.2">
      <c r="C2561" s="180"/>
    </row>
    <row r="2562" spans="3:3" s="181" customFormat="1" hidden="1" x14ac:dyDescent="0.2">
      <c r="C2562" s="180"/>
    </row>
    <row r="2563" spans="3:3" s="181" customFormat="1" hidden="1" x14ac:dyDescent="0.2">
      <c r="C2563" s="180"/>
    </row>
    <row r="2564" spans="3:3" s="181" customFormat="1" hidden="1" x14ac:dyDescent="0.2">
      <c r="C2564" s="180"/>
    </row>
    <row r="2565" spans="3:3" s="181" customFormat="1" hidden="1" x14ac:dyDescent="0.2">
      <c r="C2565" s="180"/>
    </row>
    <row r="2566" spans="3:3" s="181" customFormat="1" hidden="1" x14ac:dyDescent="0.2">
      <c r="C2566" s="180"/>
    </row>
    <row r="2567" spans="3:3" s="181" customFormat="1" hidden="1" x14ac:dyDescent="0.2">
      <c r="C2567" s="180"/>
    </row>
    <row r="2568" spans="3:3" s="181" customFormat="1" hidden="1" x14ac:dyDescent="0.2">
      <c r="C2568" s="180"/>
    </row>
    <row r="2569" spans="3:3" s="181" customFormat="1" hidden="1" x14ac:dyDescent="0.2">
      <c r="C2569" s="180"/>
    </row>
    <row r="2570" spans="3:3" s="181" customFormat="1" hidden="1" x14ac:dyDescent="0.2">
      <c r="C2570" s="180"/>
    </row>
    <row r="2571" spans="3:3" s="181" customFormat="1" hidden="1" x14ac:dyDescent="0.2">
      <c r="C2571" s="180"/>
    </row>
    <row r="2572" spans="3:3" s="181" customFormat="1" hidden="1" x14ac:dyDescent="0.2">
      <c r="C2572" s="180"/>
    </row>
    <row r="2573" spans="3:3" s="181" customFormat="1" hidden="1" x14ac:dyDescent="0.2">
      <c r="C2573" s="180"/>
    </row>
    <row r="2574" spans="3:3" s="181" customFormat="1" hidden="1" x14ac:dyDescent="0.2">
      <c r="C2574" s="180"/>
    </row>
    <row r="2575" spans="3:3" s="181" customFormat="1" hidden="1" x14ac:dyDescent="0.2">
      <c r="C2575" s="180"/>
    </row>
    <row r="2576" spans="3:3" s="181" customFormat="1" hidden="1" x14ac:dyDescent="0.2">
      <c r="C2576" s="180"/>
    </row>
    <row r="2577" spans="3:3" s="181" customFormat="1" hidden="1" x14ac:dyDescent="0.2">
      <c r="C2577" s="180"/>
    </row>
    <row r="2578" spans="3:3" s="181" customFormat="1" hidden="1" x14ac:dyDescent="0.2">
      <c r="C2578" s="180"/>
    </row>
    <row r="2579" spans="3:3" s="181" customFormat="1" hidden="1" x14ac:dyDescent="0.2">
      <c r="C2579" s="180"/>
    </row>
    <row r="2580" spans="3:3" s="181" customFormat="1" hidden="1" x14ac:dyDescent="0.2">
      <c r="C2580" s="180"/>
    </row>
    <row r="2581" spans="3:3" s="181" customFormat="1" hidden="1" x14ac:dyDescent="0.2">
      <c r="C2581" s="180"/>
    </row>
    <row r="2582" spans="3:3" s="181" customFormat="1" hidden="1" x14ac:dyDescent="0.2">
      <c r="C2582" s="180"/>
    </row>
    <row r="2583" spans="3:3" s="181" customFormat="1" hidden="1" x14ac:dyDescent="0.2">
      <c r="C2583" s="180"/>
    </row>
    <row r="2584" spans="3:3" s="181" customFormat="1" hidden="1" x14ac:dyDescent="0.2">
      <c r="C2584" s="180"/>
    </row>
    <row r="2585" spans="3:3" s="181" customFormat="1" hidden="1" x14ac:dyDescent="0.2">
      <c r="C2585" s="180"/>
    </row>
    <row r="2586" spans="3:3" s="181" customFormat="1" hidden="1" x14ac:dyDescent="0.2">
      <c r="C2586" s="180"/>
    </row>
    <row r="2587" spans="3:3" s="181" customFormat="1" hidden="1" x14ac:dyDescent="0.2">
      <c r="C2587" s="180"/>
    </row>
    <row r="2588" spans="3:3" s="181" customFormat="1" hidden="1" x14ac:dyDescent="0.2">
      <c r="C2588" s="180"/>
    </row>
    <row r="2589" spans="3:3" s="181" customFormat="1" hidden="1" x14ac:dyDescent="0.2">
      <c r="C2589" s="180"/>
    </row>
    <row r="2590" spans="3:3" s="181" customFormat="1" hidden="1" x14ac:dyDescent="0.2">
      <c r="C2590" s="180"/>
    </row>
    <row r="2591" spans="3:3" s="181" customFormat="1" hidden="1" x14ac:dyDescent="0.2">
      <c r="C2591" s="180"/>
    </row>
    <row r="2592" spans="3:3" s="181" customFormat="1" hidden="1" x14ac:dyDescent="0.2">
      <c r="C2592" s="180"/>
    </row>
    <row r="2593" spans="3:3" s="181" customFormat="1" hidden="1" x14ac:dyDescent="0.2">
      <c r="C2593" s="180"/>
    </row>
    <row r="2594" spans="3:3" s="181" customFormat="1" hidden="1" x14ac:dyDescent="0.2">
      <c r="C2594" s="180"/>
    </row>
    <row r="2595" spans="3:3" s="181" customFormat="1" hidden="1" x14ac:dyDescent="0.2">
      <c r="C2595" s="180"/>
    </row>
    <row r="2596" spans="3:3" s="181" customFormat="1" hidden="1" x14ac:dyDescent="0.2">
      <c r="C2596" s="180"/>
    </row>
    <row r="2597" spans="3:3" s="181" customFormat="1" hidden="1" x14ac:dyDescent="0.2">
      <c r="C2597" s="180"/>
    </row>
    <row r="2598" spans="3:3" s="181" customFormat="1" hidden="1" x14ac:dyDescent="0.2">
      <c r="C2598" s="180"/>
    </row>
    <row r="2599" spans="3:3" s="181" customFormat="1" hidden="1" x14ac:dyDescent="0.2">
      <c r="C2599" s="180"/>
    </row>
    <row r="2600" spans="3:3" s="181" customFormat="1" hidden="1" x14ac:dyDescent="0.2">
      <c r="C2600" s="180"/>
    </row>
    <row r="2601" spans="3:3" s="181" customFormat="1" hidden="1" x14ac:dyDescent="0.2">
      <c r="C2601" s="180"/>
    </row>
    <row r="2602" spans="3:3" s="181" customFormat="1" hidden="1" x14ac:dyDescent="0.2">
      <c r="C2602" s="180"/>
    </row>
    <row r="2603" spans="3:3" s="181" customFormat="1" hidden="1" x14ac:dyDescent="0.2">
      <c r="C2603" s="180"/>
    </row>
    <row r="2604" spans="3:3" s="181" customFormat="1" hidden="1" x14ac:dyDescent="0.2">
      <c r="C2604" s="180"/>
    </row>
    <row r="2605" spans="3:3" s="181" customFormat="1" hidden="1" x14ac:dyDescent="0.2">
      <c r="C2605" s="180"/>
    </row>
    <row r="2606" spans="3:3" s="181" customFormat="1" hidden="1" x14ac:dyDescent="0.2">
      <c r="C2606" s="180"/>
    </row>
    <row r="2607" spans="3:3" s="181" customFormat="1" hidden="1" x14ac:dyDescent="0.2">
      <c r="C2607" s="180"/>
    </row>
    <row r="2608" spans="3:3" s="181" customFormat="1" hidden="1" x14ac:dyDescent="0.2">
      <c r="C2608" s="180"/>
    </row>
    <row r="2609" spans="3:3" s="181" customFormat="1" hidden="1" x14ac:dyDescent="0.2">
      <c r="C2609" s="180"/>
    </row>
    <row r="2610" spans="3:3" s="181" customFormat="1" hidden="1" x14ac:dyDescent="0.2">
      <c r="C2610" s="180"/>
    </row>
    <row r="2611" spans="3:3" s="181" customFormat="1" hidden="1" x14ac:dyDescent="0.2">
      <c r="C2611" s="180"/>
    </row>
    <row r="2612" spans="3:3" s="181" customFormat="1" hidden="1" x14ac:dyDescent="0.2">
      <c r="C2612" s="180"/>
    </row>
    <row r="2613" spans="3:3" s="181" customFormat="1" hidden="1" x14ac:dyDescent="0.2">
      <c r="C2613" s="180"/>
    </row>
    <row r="2614" spans="3:3" s="181" customFormat="1" hidden="1" x14ac:dyDescent="0.2">
      <c r="C2614" s="180"/>
    </row>
    <row r="2615" spans="3:3" s="181" customFormat="1" hidden="1" x14ac:dyDescent="0.2">
      <c r="C2615" s="180"/>
    </row>
    <row r="2616" spans="3:3" s="181" customFormat="1" hidden="1" x14ac:dyDescent="0.2">
      <c r="C2616" s="180"/>
    </row>
    <row r="2617" spans="3:3" s="181" customFormat="1" hidden="1" x14ac:dyDescent="0.2">
      <c r="C2617" s="180"/>
    </row>
    <row r="2618" spans="3:3" s="181" customFormat="1" hidden="1" x14ac:dyDescent="0.2">
      <c r="C2618" s="180"/>
    </row>
    <row r="2619" spans="3:3" s="181" customFormat="1" hidden="1" x14ac:dyDescent="0.2">
      <c r="C2619" s="180"/>
    </row>
    <row r="2620" spans="3:3" s="181" customFormat="1" hidden="1" x14ac:dyDescent="0.2">
      <c r="C2620" s="180"/>
    </row>
    <row r="2621" spans="3:3" s="181" customFormat="1" hidden="1" x14ac:dyDescent="0.2">
      <c r="C2621" s="180"/>
    </row>
    <row r="2622" spans="3:3" s="181" customFormat="1" hidden="1" x14ac:dyDescent="0.2">
      <c r="C2622" s="180"/>
    </row>
    <row r="2623" spans="3:3" s="181" customFormat="1" hidden="1" x14ac:dyDescent="0.2">
      <c r="C2623" s="180"/>
    </row>
    <row r="2624" spans="3:3" s="181" customFormat="1" hidden="1" x14ac:dyDescent="0.2">
      <c r="C2624" s="180"/>
    </row>
    <row r="2625" spans="3:3" s="181" customFormat="1" hidden="1" x14ac:dyDescent="0.2">
      <c r="C2625" s="180"/>
    </row>
    <row r="2626" spans="3:3" s="181" customFormat="1" hidden="1" x14ac:dyDescent="0.2">
      <c r="C2626" s="180"/>
    </row>
    <row r="2627" spans="3:3" s="181" customFormat="1" hidden="1" x14ac:dyDescent="0.2">
      <c r="C2627" s="180"/>
    </row>
    <row r="2628" spans="3:3" s="181" customFormat="1" hidden="1" x14ac:dyDescent="0.2">
      <c r="C2628" s="180"/>
    </row>
    <row r="2629" spans="3:3" s="181" customFormat="1" hidden="1" x14ac:dyDescent="0.2">
      <c r="C2629" s="180"/>
    </row>
    <row r="2630" spans="3:3" s="181" customFormat="1" hidden="1" x14ac:dyDescent="0.2">
      <c r="C2630" s="180"/>
    </row>
    <row r="2631" spans="3:3" s="181" customFormat="1" hidden="1" x14ac:dyDescent="0.2">
      <c r="C2631" s="180"/>
    </row>
    <row r="2632" spans="3:3" s="181" customFormat="1" hidden="1" x14ac:dyDescent="0.2">
      <c r="C2632" s="180"/>
    </row>
    <row r="2633" spans="3:3" s="181" customFormat="1" hidden="1" x14ac:dyDescent="0.2">
      <c r="C2633" s="180"/>
    </row>
    <row r="2634" spans="3:3" s="181" customFormat="1" hidden="1" x14ac:dyDescent="0.2">
      <c r="C2634" s="180"/>
    </row>
    <row r="2635" spans="3:3" s="181" customFormat="1" hidden="1" x14ac:dyDescent="0.2">
      <c r="C2635" s="180"/>
    </row>
    <row r="2636" spans="3:3" s="181" customFormat="1" hidden="1" x14ac:dyDescent="0.2">
      <c r="C2636" s="180"/>
    </row>
    <row r="2637" spans="3:3" s="181" customFormat="1" hidden="1" x14ac:dyDescent="0.2">
      <c r="C2637" s="180"/>
    </row>
    <row r="2638" spans="3:3" s="181" customFormat="1" hidden="1" x14ac:dyDescent="0.2">
      <c r="C2638" s="180"/>
    </row>
    <row r="2639" spans="3:3" s="181" customFormat="1" hidden="1" x14ac:dyDescent="0.2">
      <c r="C2639" s="180"/>
    </row>
    <row r="2640" spans="3:3" s="181" customFormat="1" hidden="1" x14ac:dyDescent="0.2">
      <c r="C2640" s="180"/>
    </row>
    <row r="2641" spans="3:3" s="181" customFormat="1" hidden="1" x14ac:dyDescent="0.2">
      <c r="C2641" s="180"/>
    </row>
    <row r="2642" spans="3:3" s="181" customFormat="1" hidden="1" x14ac:dyDescent="0.2">
      <c r="C2642" s="180"/>
    </row>
    <row r="2643" spans="3:3" s="181" customFormat="1" hidden="1" x14ac:dyDescent="0.2">
      <c r="C2643" s="180"/>
    </row>
    <row r="2644" spans="3:3" s="181" customFormat="1" hidden="1" x14ac:dyDescent="0.2">
      <c r="C2644" s="180"/>
    </row>
    <row r="2645" spans="3:3" s="181" customFormat="1" hidden="1" x14ac:dyDescent="0.2">
      <c r="C2645" s="180"/>
    </row>
    <row r="2646" spans="3:3" s="181" customFormat="1" hidden="1" x14ac:dyDescent="0.2">
      <c r="C2646" s="180"/>
    </row>
    <row r="2647" spans="3:3" s="181" customFormat="1" hidden="1" x14ac:dyDescent="0.2">
      <c r="C2647" s="180"/>
    </row>
    <row r="2648" spans="3:3" s="181" customFormat="1" hidden="1" x14ac:dyDescent="0.2">
      <c r="C2648" s="180"/>
    </row>
    <row r="2649" spans="3:3" s="181" customFormat="1" hidden="1" x14ac:dyDescent="0.2">
      <c r="C2649" s="180"/>
    </row>
    <row r="2650" spans="3:3" s="181" customFormat="1" hidden="1" x14ac:dyDescent="0.2">
      <c r="C2650" s="180"/>
    </row>
    <row r="2651" spans="3:3" s="181" customFormat="1" hidden="1" x14ac:dyDescent="0.2">
      <c r="C2651" s="180"/>
    </row>
    <row r="2652" spans="3:3" s="181" customFormat="1" hidden="1" x14ac:dyDescent="0.2">
      <c r="C2652" s="180"/>
    </row>
    <row r="2653" spans="3:3" s="181" customFormat="1" hidden="1" x14ac:dyDescent="0.2">
      <c r="C2653" s="180"/>
    </row>
    <row r="2654" spans="3:3" s="181" customFormat="1" hidden="1" x14ac:dyDescent="0.2">
      <c r="C2654" s="180"/>
    </row>
    <row r="2655" spans="3:3" s="181" customFormat="1" hidden="1" x14ac:dyDescent="0.2">
      <c r="C2655" s="180"/>
    </row>
    <row r="2656" spans="3:3" s="181" customFormat="1" hidden="1" x14ac:dyDescent="0.2">
      <c r="C2656" s="180"/>
    </row>
    <row r="2657" spans="3:3" s="181" customFormat="1" hidden="1" x14ac:dyDescent="0.2">
      <c r="C2657" s="180"/>
    </row>
    <row r="2658" spans="3:3" s="181" customFormat="1" hidden="1" x14ac:dyDescent="0.2">
      <c r="C2658" s="180"/>
    </row>
    <row r="2659" spans="3:3" s="181" customFormat="1" hidden="1" x14ac:dyDescent="0.2">
      <c r="C2659" s="180"/>
    </row>
    <row r="2660" spans="3:3" s="181" customFormat="1" hidden="1" x14ac:dyDescent="0.2">
      <c r="C2660" s="180"/>
    </row>
    <row r="2661" spans="3:3" s="181" customFormat="1" hidden="1" x14ac:dyDescent="0.2">
      <c r="C2661" s="180"/>
    </row>
    <row r="2662" spans="3:3" s="181" customFormat="1" hidden="1" x14ac:dyDescent="0.2">
      <c r="C2662" s="180"/>
    </row>
    <row r="2663" spans="3:3" s="181" customFormat="1" hidden="1" x14ac:dyDescent="0.2">
      <c r="C2663" s="180"/>
    </row>
    <row r="2664" spans="3:3" s="181" customFormat="1" hidden="1" x14ac:dyDescent="0.2">
      <c r="C2664" s="180"/>
    </row>
    <row r="2665" spans="3:3" s="181" customFormat="1" hidden="1" x14ac:dyDescent="0.2">
      <c r="C2665" s="180"/>
    </row>
    <row r="2666" spans="3:3" s="181" customFormat="1" hidden="1" x14ac:dyDescent="0.2">
      <c r="C2666" s="180"/>
    </row>
    <row r="2667" spans="3:3" s="181" customFormat="1" hidden="1" x14ac:dyDescent="0.2">
      <c r="C2667" s="180"/>
    </row>
    <row r="2668" spans="3:3" s="181" customFormat="1" hidden="1" x14ac:dyDescent="0.2">
      <c r="C2668" s="180"/>
    </row>
    <row r="2669" spans="3:3" s="181" customFormat="1" hidden="1" x14ac:dyDescent="0.2">
      <c r="C2669" s="180"/>
    </row>
    <row r="2670" spans="3:3" s="181" customFormat="1" hidden="1" x14ac:dyDescent="0.2">
      <c r="C2670" s="180"/>
    </row>
    <row r="2671" spans="3:3" s="181" customFormat="1" hidden="1" x14ac:dyDescent="0.2">
      <c r="C2671" s="180"/>
    </row>
    <row r="2672" spans="3:3" s="181" customFormat="1" hidden="1" x14ac:dyDescent="0.2">
      <c r="C2672" s="180"/>
    </row>
    <row r="2673" spans="3:3" s="181" customFormat="1" hidden="1" x14ac:dyDescent="0.2">
      <c r="C2673" s="180"/>
    </row>
    <row r="2674" spans="3:3" s="181" customFormat="1" hidden="1" x14ac:dyDescent="0.2">
      <c r="C2674" s="180"/>
    </row>
    <row r="2675" spans="3:3" s="181" customFormat="1" hidden="1" x14ac:dyDescent="0.2">
      <c r="C2675" s="180"/>
    </row>
    <row r="2676" spans="3:3" s="181" customFormat="1" hidden="1" x14ac:dyDescent="0.2">
      <c r="C2676" s="180"/>
    </row>
    <row r="2677" spans="3:3" s="181" customFormat="1" hidden="1" x14ac:dyDescent="0.2">
      <c r="C2677" s="180"/>
    </row>
    <row r="2678" spans="3:3" s="181" customFormat="1" hidden="1" x14ac:dyDescent="0.2">
      <c r="C2678" s="180"/>
    </row>
    <row r="2679" spans="3:3" s="181" customFormat="1" hidden="1" x14ac:dyDescent="0.2">
      <c r="C2679" s="180"/>
    </row>
    <row r="2680" spans="3:3" s="181" customFormat="1" hidden="1" x14ac:dyDescent="0.2">
      <c r="C2680" s="180"/>
    </row>
    <row r="2681" spans="3:3" s="181" customFormat="1" hidden="1" x14ac:dyDescent="0.2">
      <c r="C2681" s="180"/>
    </row>
    <row r="2682" spans="3:3" s="181" customFormat="1" hidden="1" x14ac:dyDescent="0.2">
      <c r="C2682" s="180"/>
    </row>
    <row r="2683" spans="3:3" s="181" customFormat="1" hidden="1" x14ac:dyDescent="0.2">
      <c r="C2683" s="180"/>
    </row>
    <row r="2684" spans="3:3" s="181" customFormat="1" hidden="1" x14ac:dyDescent="0.2">
      <c r="C2684" s="180"/>
    </row>
    <row r="2685" spans="3:3" s="181" customFormat="1" hidden="1" x14ac:dyDescent="0.2">
      <c r="C2685" s="180"/>
    </row>
    <row r="2686" spans="3:3" s="181" customFormat="1" hidden="1" x14ac:dyDescent="0.2">
      <c r="C2686" s="180"/>
    </row>
    <row r="2687" spans="3:3" s="181" customFormat="1" hidden="1" x14ac:dyDescent="0.2">
      <c r="C2687" s="180"/>
    </row>
    <row r="2688" spans="3:3" s="181" customFormat="1" hidden="1" x14ac:dyDescent="0.2">
      <c r="C2688" s="180"/>
    </row>
    <row r="2689" spans="3:3" s="181" customFormat="1" hidden="1" x14ac:dyDescent="0.2">
      <c r="C2689" s="180"/>
    </row>
    <row r="2690" spans="3:3" s="181" customFormat="1" hidden="1" x14ac:dyDescent="0.2">
      <c r="C2690" s="180"/>
    </row>
    <row r="2691" spans="3:3" s="181" customFormat="1" hidden="1" x14ac:dyDescent="0.2">
      <c r="C2691" s="180"/>
    </row>
    <row r="2692" spans="3:3" s="181" customFormat="1" hidden="1" x14ac:dyDescent="0.2">
      <c r="C2692" s="180"/>
    </row>
    <row r="2693" spans="3:3" s="181" customFormat="1" hidden="1" x14ac:dyDescent="0.2">
      <c r="C2693" s="180"/>
    </row>
    <row r="2694" spans="3:3" s="181" customFormat="1" hidden="1" x14ac:dyDescent="0.2">
      <c r="C2694" s="180"/>
    </row>
    <row r="2695" spans="3:3" s="181" customFormat="1" hidden="1" x14ac:dyDescent="0.2">
      <c r="C2695" s="180"/>
    </row>
    <row r="2696" spans="3:3" s="181" customFormat="1" hidden="1" x14ac:dyDescent="0.2">
      <c r="C2696" s="180"/>
    </row>
    <row r="2697" spans="3:3" s="181" customFormat="1" hidden="1" x14ac:dyDescent="0.2">
      <c r="C2697" s="180"/>
    </row>
    <row r="2698" spans="3:3" s="181" customFormat="1" hidden="1" x14ac:dyDescent="0.2">
      <c r="C2698" s="180"/>
    </row>
    <row r="2699" spans="3:3" s="181" customFormat="1" hidden="1" x14ac:dyDescent="0.2">
      <c r="C2699" s="180"/>
    </row>
    <row r="2700" spans="3:3" s="181" customFormat="1" hidden="1" x14ac:dyDescent="0.2">
      <c r="C2700" s="180"/>
    </row>
    <row r="2701" spans="3:3" s="181" customFormat="1" hidden="1" x14ac:dyDescent="0.2">
      <c r="C2701" s="180"/>
    </row>
    <row r="2702" spans="3:3" s="181" customFormat="1" hidden="1" x14ac:dyDescent="0.2">
      <c r="C2702" s="180"/>
    </row>
    <row r="2703" spans="3:3" s="181" customFormat="1" hidden="1" x14ac:dyDescent="0.2">
      <c r="C2703" s="180"/>
    </row>
    <row r="2704" spans="3:3" s="181" customFormat="1" hidden="1" x14ac:dyDescent="0.2">
      <c r="C2704" s="180"/>
    </row>
    <row r="2705" spans="3:3" s="181" customFormat="1" hidden="1" x14ac:dyDescent="0.2">
      <c r="C2705" s="180"/>
    </row>
    <row r="2706" spans="3:3" s="181" customFormat="1" hidden="1" x14ac:dyDescent="0.2">
      <c r="C2706" s="180"/>
    </row>
    <row r="2707" spans="3:3" s="181" customFormat="1" hidden="1" x14ac:dyDescent="0.2">
      <c r="C2707" s="180"/>
    </row>
    <row r="2708" spans="3:3" s="181" customFormat="1" hidden="1" x14ac:dyDescent="0.2">
      <c r="C2708" s="180"/>
    </row>
    <row r="2709" spans="3:3" s="181" customFormat="1" hidden="1" x14ac:dyDescent="0.2">
      <c r="C2709" s="180"/>
    </row>
    <row r="2710" spans="3:3" s="181" customFormat="1" hidden="1" x14ac:dyDescent="0.2">
      <c r="C2710" s="180"/>
    </row>
    <row r="2711" spans="3:3" s="181" customFormat="1" hidden="1" x14ac:dyDescent="0.2">
      <c r="C2711" s="180"/>
    </row>
    <row r="2712" spans="3:3" s="181" customFormat="1" hidden="1" x14ac:dyDescent="0.2">
      <c r="C2712" s="180"/>
    </row>
    <row r="2713" spans="3:3" s="181" customFormat="1" hidden="1" x14ac:dyDescent="0.2">
      <c r="C2713" s="180"/>
    </row>
    <row r="2714" spans="3:3" s="181" customFormat="1" hidden="1" x14ac:dyDescent="0.2">
      <c r="C2714" s="180"/>
    </row>
    <row r="2715" spans="3:3" s="181" customFormat="1" hidden="1" x14ac:dyDescent="0.2">
      <c r="C2715" s="180"/>
    </row>
    <row r="2716" spans="3:3" s="181" customFormat="1" hidden="1" x14ac:dyDescent="0.2">
      <c r="C2716" s="180"/>
    </row>
    <row r="2717" spans="3:3" s="181" customFormat="1" hidden="1" x14ac:dyDescent="0.2">
      <c r="C2717" s="180"/>
    </row>
    <row r="2718" spans="3:3" s="181" customFormat="1" hidden="1" x14ac:dyDescent="0.2">
      <c r="C2718" s="180"/>
    </row>
    <row r="2719" spans="3:3" s="181" customFormat="1" hidden="1" x14ac:dyDescent="0.2">
      <c r="C2719" s="180"/>
    </row>
    <row r="2720" spans="3:3" s="181" customFormat="1" hidden="1" x14ac:dyDescent="0.2">
      <c r="C2720" s="180"/>
    </row>
    <row r="2721" spans="3:3" s="181" customFormat="1" hidden="1" x14ac:dyDescent="0.2">
      <c r="C2721" s="180"/>
    </row>
    <row r="2722" spans="3:3" s="181" customFormat="1" hidden="1" x14ac:dyDescent="0.2">
      <c r="C2722" s="180"/>
    </row>
    <row r="2723" spans="3:3" s="181" customFormat="1" hidden="1" x14ac:dyDescent="0.2">
      <c r="C2723" s="180"/>
    </row>
    <row r="2724" spans="3:3" s="181" customFormat="1" hidden="1" x14ac:dyDescent="0.2">
      <c r="C2724" s="180"/>
    </row>
    <row r="2725" spans="3:3" s="181" customFormat="1" hidden="1" x14ac:dyDescent="0.2">
      <c r="C2725" s="180"/>
    </row>
    <row r="2726" spans="3:3" s="181" customFormat="1" hidden="1" x14ac:dyDescent="0.2">
      <c r="C2726" s="180"/>
    </row>
    <row r="2727" spans="3:3" s="181" customFormat="1" hidden="1" x14ac:dyDescent="0.2">
      <c r="C2727" s="180"/>
    </row>
    <row r="2728" spans="3:3" s="181" customFormat="1" hidden="1" x14ac:dyDescent="0.2">
      <c r="C2728" s="180"/>
    </row>
    <row r="2729" spans="3:3" s="181" customFormat="1" hidden="1" x14ac:dyDescent="0.2">
      <c r="C2729" s="180"/>
    </row>
    <row r="2730" spans="3:3" s="181" customFormat="1" hidden="1" x14ac:dyDescent="0.2">
      <c r="C2730" s="180"/>
    </row>
    <row r="2731" spans="3:3" s="181" customFormat="1" hidden="1" x14ac:dyDescent="0.2">
      <c r="C2731" s="180"/>
    </row>
    <row r="2732" spans="3:3" s="181" customFormat="1" hidden="1" x14ac:dyDescent="0.2">
      <c r="C2732" s="180"/>
    </row>
    <row r="2733" spans="3:3" s="181" customFormat="1" hidden="1" x14ac:dyDescent="0.2">
      <c r="C2733" s="180"/>
    </row>
    <row r="2734" spans="3:3" s="181" customFormat="1" hidden="1" x14ac:dyDescent="0.2">
      <c r="C2734" s="180"/>
    </row>
    <row r="2735" spans="3:3" s="181" customFormat="1" hidden="1" x14ac:dyDescent="0.2">
      <c r="C2735" s="180"/>
    </row>
    <row r="2736" spans="3:3" s="181" customFormat="1" hidden="1" x14ac:dyDescent="0.2">
      <c r="C2736" s="180"/>
    </row>
    <row r="2737" spans="3:3" s="181" customFormat="1" hidden="1" x14ac:dyDescent="0.2">
      <c r="C2737" s="180"/>
    </row>
    <row r="2738" spans="3:3" s="181" customFormat="1" hidden="1" x14ac:dyDescent="0.2">
      <c r="C2738" s="180"/>
    </row>
    <row r="2739" spans="3:3" s="181" customFormat="1" hidden="1" x14ac:dyDescent="0.2">
      <c r="C2739" s="180"/>
    </row>
    <row r="2740" spans="3:3" s="181" customFormat="1" hidden="1" x14ac:dyDescent="0.2">
      <c r="C2740" s="180"/>
    </row>
    <row r="2741" spans="3:3" s="181" customFormat="1" hidden="1" x14ac:dyDescent="0.2">
      <c r="C2741" s="180"/>
    </row>
    <row r="2742" spans="3:3" s="181" customFormat="1" hidden="1" x14ac:dyDescent="0.2">
      <c r="C2742" s="180"/>
    </row>
    <row r="2743" spans="3:3" s="181" customFormat="1" hidden="1" x14ac:dyDescent="0.2">
      <c r="C2743" s="180"/>
    </row>
    <row r="2744" spans="3:3" s="181" customFormat="1" hidden="1" x14ac:dyDescent="0.2">
      <c r="C2744" s="180"/>
    </row>
    <row r="2745" spans="3:3" s="181" customFormat="1" hidden="1" x14ac:dyDescent="0.2">
      <c r="C2745" s="180"/>
    </row>
    <row r="2746" spans="3:3" s="181" customFormat="1" hidden="1" x14ac:dyDescent="0.2">
      <c r="C2746" s="180"/>
    </row>
    <row r="2747" spans="3:3" s="181" customFormat="1" hidden="1" x14ac:dyDescent="0.2">
      <c r="C2747" s="180"/>
    </row>
    <row r="2748" spans="3:3" s="181" customFormat="1" hidden="1" x14ac:dyDescent="0.2">
      <c r="C2748" s="180"/>
    </row>
    <row r="2749" spans="3:3" s="181" customFormat="1" hidden="1" x14ac:dyDescent="0.2">
      <c r="C2749" s="180"/>
    </row>
    <row r="2750" spans="3:3" s="181" customFormat="1" hidden="1" x14ac:dyDescent="0.2">
      <c r="C2750" s="180"/>
    </row>
    <row r="2751" spans="3:3" s="181" customFormat="1" hidden="1" x14ac:dyDescent="0.2">
      <c r="C2751" s="180"/>
    </row>
    <row r="2752" spans="3:3" s="181" customFormat="1" hidden="1" x14ac:dyDescent="0.2">
      <c r="C2752" s="180"/>
    </row>
    <row r="2753" spans="3:3" s="181" customFormat="1" hidden="1" x14ac:dyDescent="0.2">
      <c r="C2753" s="180"/>
    </row>
    <row r="2754" spans="3:3" s="181" customFormat="1" hidden="1" x14ac:dyDescent="0.2">
      <c r="C2754" s="180"/>
    </row>
    <row r="2755" spans="3:3" s="181" customFormat="1" hidden="1" x14ac:dyDescent="0.2">
      <c r="C2755" s="180"/>
    </row>
    <row r="2756" spans="3:3" s="181" customFormat="1" hidden="1" x14ac:dyDescent="0.2">
      <c r="C2756" s="180"/>
    </row>
    <row r="2757" spans="3:3" s="181" customFormat="1" hidden="1" x14ac:dyDescent="0.2">
      <c r="C2757" s="180"/>
    </row>
    <row r="2758" spans="3:3" s="181" customFormat="1" hidden="1" x14ac:dyDescent="0.2">
      <c r="C2758" s="180"/>
    </row>
    <row r="2759" spans="3:3" s="181" customFormat="1" hidden="1" x14ac:dyDescent="0.2">
      <c r="C2759" s="180"/>
    </row>
    <row r="2760" spans="3:3" s="181" customFormat="1" hidden="1" x14ac:dyDescent="0.2">
      <c r="C2760" s="180"/>
    </row>
    <row r="2761" spans="3:3" s="181" customFormat="1" hidden="1" x14ac:dyDescent="0.2">
      <c r="C2761" s="180"/>
    </row>
    <row r="2762" spans="3:3" s="181" customFormat="1" hidden="1" x14ac:dyDescent="0.2">
      <c r="C2762" s="180"/>
    </row>
    <row r="2763" spans="3:3" s="181" customFormat="1" hidden="1" x14ac:dyDescent="0.2">
      <c r="C2763" s="180"/>
    </row>
    <row r="2764" spans="3:3" s="181" customFormat="1" hidden="1" x14ac:dyDescent="0.2">
      <c r="C2764" s="180"/>
    </row>
    <row r="2765" spans="3:3" s="181" customFormat="1" hidden="1" x14ac:dyDescent="0.2">
      <c r="C2765" s="180"/>
    </row>
    <row r="2766" spans="3:3" s="181" customFormat="1" hidden="1" x14ac:dyDescent="0.2">
      <c r="C2766" s="180"/>
    </row>
    <row r="2767" spans="3:3" s="181" customFormat="1" hidden="1" x14ac:dyDescent="0.2">
      <c r="C2767" s="180"/>
    </row>
    <row r="2768" spans="3:3" s="181" customFormat="1" hidden="1" x14ac:dyDescent="0.2">
      <c r="C2768" s="180"/>
    </row>
    <row r="2769" spans="3:3" s="181" customFormat="1" hidden="1" x14ac:dyDescent="0.2">
      <c r="C2769" s="180"/>
    </row>
    <row r="2770" spans="3:3" s="181" customFormat="1" hidden="1" x14ac:dyDescent="0.2">
      <c r="C2770" s="180"/>
    </row>
    <row r="2771" spans="3:3" s="181" customFormat="1" hidden="1" x14ac:dyDescent="0.2">
      <c r="C2771" s="180"/>
    </row>
    <row r="2772" spans="3:3" s="181" customFormat="1" hidden="1" x14ac:dyDescent="0.2">
      <c r="C2772" s="180"/>
    </row>
    <row r="2773" spans="3:3" s="181" customFormat="1" hidden="1" x14ac:dyDescent="0.2">
      <c r="C2773" s="180"/>
    </row>
    <row r="2774" spans="3:3" s="181" customFormat="1" hidden="1" x14ac:dyDescent="0.2">
      <c r="C2774" s="180"/>
    </row>
    <row r="2775" spans="3:3" s="181" customFormat="1" hidden="1" x14ac:dyDescent="0.2">
      <c r="C2775" s="180"/>
    </row>
    <row r="2776" spans="3:3" s="181" customFormat="1" hidden="1" x14ac:dyDescent="0.2">
      <c r="C2776" s="180"/>
    </row>
    <row r="2777" spans="3:3" s="181" customFormat="1" hidden="1" x14ac:dyDescent="0.2">
      <c r="C2777" s="180"/>
    </row>
    <row r="2778" spans="3:3" s="181" customFormat="1" hidden="1" x14ac:dyDescent="0.2">
      <c r="C2778" s="180"/>
    </row>
    <row r="2779" spans="3:3" s="181" customFormat="1" hidden="1" x14ac:dyDescent="0.2">
      <c r="C2779" s="180"/>
    </row>
    <row r="2780" spans="3:3" s="181" customFormat="1" hidden="1" x14ac:dyDescent="0.2">
      <c r="C2780" s="180"/>
    </row>
    <row r="2781" spans="3:3" s="181" customFormat="1" hidden="1" x14ac:dyDescent="0.2">
      <c r="C2781" s="180"/>
    </row>
    <row r="2782" spans="3:3" s="181" customFormat="1" hidden="1" x14ac:dyDescent="0.2">
      <c r="C2782" s="180"/>
    </row>
    <row r="2783" spans="3:3" s="181" customFormat="1" hidden="1" x14ac:dyDescent="0.2">
      <c r="C2783" s="180"/>
    </row>
    <row r="2784" spans="3:3" s="181" customFormat="1" hidden="1" x14ac:dyDescent="0.2">
      <c r="C2784" s="180"/>
    </row>
    <row r="2785" spans="3:3" s="181" customFormat="1" hidden="1" x14ac:dyDescent="0.2">
      <c r="C2785" s="180"/>
    </row>
    <row r="2786" spans="3:3" s="181" customFormat="1" hidden="1" x14ac:dyDescent="0.2">
      <c r="C2786" s="180"/>
    </row>
    <row r="2787" spans="3:3" s="181" customFormat="1" hidden="1" x14ac:dyDescent="0.2">
      <c r="C2787" s="180"/>
    </row>
    <row r="2788" spans="3:3" s="181" customFormat="1" hidden="1" x14ac:dyDescent="0.2">
      <c r="C2788" s="180"/>
    </row>
    <row r="2789" spans="3:3" s="181" customFormat="1" hidden="1" x14ac:dyDescent="0.2">
      <c r="C2789" s="180"/>
    </row>
    <row r="2790" spans="3:3" s="181" customFormat="1" hidden="1" x14ac:dyDescent="0.2">
      <c r="C2790" s="180"/>
    </row>
    <row r="2791" spans="3:3" s="181" customFormat="1" hidden="1" x14ac:dyDescent="0.2">
      <c r="C2791" s="180"/>
    </row>
    <row r="2792" spans="3:3" s="181" customFormat="1" hidden="1" x14ac:dyDescent="0.2">
      <c r="C2792" s="180"/>
    </row>
    <row r="2793" spans="3:3" s="181" customFormat="1" hidden="1" x14ac:dyDescent="0.2">
      <c r="C2793" s="180"/>
    </row>
    <row r="2794" spans="3:3" s="181" customFormat="1" hidden="1" x14ac:dyDescent="0.2">
      <c r="C2794" s="180"/>
    </row>
    <row r="2795" spans="3:3" s="181" customFormat="1" hidden="1" x14ac:dyDescent="0.2">
      <c r="C2795" s="180"/>
    </row>
    <row r="2796" spans="3:3" s="181" customFormat="1" hidden="1" x14ac:dyDescent="0.2">
      <c r="C2796" s="180"/>
    </row>
    <row r="2797" spans="3:3" s="181" customFormat="1" hidden="1" x14ac:dyDescent="0.2">
      <c r="C2797" s="180"/>
    </row>
    <row r="2798" spans="3:3" s="181" customFormat="1" hidden="1" x14ac:dyDescent="0.2">
      <c r="C2798" s="180"/>
    </row>
    <row r="2799" spans="3:3" s="181" customFormat="1" hidden="1" x14ac:dyDescent="0.2">
      <c r="C2799" s="180"/>
    </row>
    <row r="2800" spans="3:3" s="181" customFormat="1" hidden="1" x14ac:dyDescent="0.2">
      <c r="C2800" s="180"/>
    </row>
    <row r="2801" spans="3:3" s="181" customFormat="1" hidden="1" x14ac:dyDescent="0.2">
      <c r="C2801" s="180"/>
    </row>
    <row r="2802" spans="3:3" s="181" customFormat="1" hidden="1" x14ac:dyDescent="0.2">
      <c r="C2802" s="180"/>
    </row>
    <row r="2803" spans="3:3" s="181" customFormat="1" hidden="1" x14ac:dyDescent="0.2">
      <c r="C2803" s="180"/>
    </row>
    <row r="2804" spans="3:3" s="181" customFormat="1" hidden="1" x14ac:dyDescent="0.2">
      <c r="C2804" s="180"/>
    </row>
    <row r="2805" spans="3:3" s="181" customFormat="1" hidden="1" x14ac:dyDescent="0.2">
      <c r="C2805" s="180"/>
    </row>
    <row r="2806" spans="3:3" s="181" customFormat="1" hidden="1" x14ac:dyDescent="0.2">
      <c r="C2806" s="180"/>
    </row>
    <row r="2807" spans="3:3" s="181" customFormat="1" hidden="1" x14ac:dyDescent="0.2">
      <c r="C2807" s="180"/>
    </row>
    <row r="2808" spans="3:3" s="181" customFormat="1" hidden="1" x14ac:dyDescent="0.2">
      <c r="C2808" s="180"/>
    </row>
    <row r="2809" spans="3:3" s="181" customFormat="1" hidden="1" x14ac:dyDescent="0.2">
      <c r="C2809" s="180"/>
    </row>
    <row r="2810" spans="3:3" s="181" customFormat="1" hidden="1" x14ac:dyDescent="0.2">
      <c r="C2810" s="180"/>
    </row>
    <row r="2811" spans="3:3" s="181" customFormat="1" hidden="1" x14ac:dyDescent="0.2">
      <c r="C2811" s="180"/>
    </row>
    <row r="2812" spans="3:3" s="181" customFormat="1" hidden="1" x14ac:dyDescent="0.2">
      <c r="C2812" s="180"/>
    </row>
    <row r="2813" spans="3:3" s="181" customFormat="1" hidden="1" x14ac:dyDescent="0.2">
      <c r="C2813" s="180"/>
    </row>
    <row r="2814" spans="3:3" s="181" customFormat="1" hidden="1" x14ac:dyDescent="0.2">
      <c r="C2814" s="180"/>
    </row>
    <row r="2815" spans="3:3" s="181" customFormat="1" hidden="1" x14ac:dyDescent="0.2">
      <c r="C2815" s="180"/>
    </row>
    <row r="2816" spans="3:3" s="181" customFormat="1" hidden="1" x14ac:dyDescent="0.2">
      <c r="C2816" s="180"/>
    </row>
    <row r="2817" spans="3:3" s="181" customFormat="1" hidden="1" x14ac:dyDescent="0.2">
      <c r="C2817" s="180"/>
    </row>
    <row r="2818" spans="3:3" s="181" customFormat="1" hidden="1" x14ac:dyDescent="0.2">
      <c r="C2818" s="180"/>
    </row>
    <row r="2819" spans="3:3" s="181" customFormat="1" hidden="1" x14ac:dyDescent="0.2">
      <c r="C2819" s="180"/>
    </row>
    <row r="2820" spans="3:3" s="181" customFormat="1" hidden="1" x14ac:dyDescent="0.2">
      <c r="C2820" s="180"/>
    </row>
    <row r="2821" spans="3:3" s="181" customFormat="1" hidden="1" x14ac:dyDescent="0.2">
      <c r="C2821" s="180"/>
    </row>
    <row r="2822" spans="3:3" s="181" customFormat="1" hidden="1" x14ac:dyDescent="0.2">
      <c r="C2822" s="180"/>
    </row>
    <row r="2823" spans="3:3" s="181" customFormat="1" hidden="1" x14ac:dyDescent="0.2">
      <c r="C2823" s="180"/>
    </row>
    <row r="2824" spans="3:3" s="181" customFormat="1" hidden="1" x14ac:dyDescent="0.2">
      <c r="C2824" s="180"/>
    </row>
    <row r="2825" spans="3:3" s="181" customFormat="1" hidden="1" x14ac:dyDescent="0.2">
      <c r="C2825" s="180"/>
    </row>
    <row r="2826" spans="3:3" s="181" customFormat="1" hidden="1" x14ac:dyDescent="0.2">
      <c r="C2826" s="180"/>
    </row>
    <row r="2827" spans="3:3" s="181" customFormat="1" hidden="1" x14ac:dyDescent="0.2">
      <c r="C2827" s="180"/>
    </row>
    <row r="2828" spans="3:3" s="181" customFormat="1" hidden="1" x14ac:dyDescent="0.2">
      <c r="C2828" s="180"/>
    </row>
    <row r="2829" spans="3:3" s="181" customFormat="1" hidden="1" x14ac:dyDescent="0.2">
      <c r="C2829" s="180"/>
    </row>
    <row r="2830" spans="3:3" s="181" customFormat="1" hidden="1" x14ac:dyDescent="0.2">
      <c r="C2830" s="180"/>
    </row>
    <row r="2831" spans="3:3" s="181" customFormat="1" hidden="1" x14ac:dyDescent="0.2">
      <c r="C2831" s="180"/>
    </row>
    <row r="2832" spans="3:3" s="181" customFormat="1" hidden="1" x14ac:dyDescent="0.2">
      <c r="C2832" s="180"/>
    </row>
    <row r="2833" spans="3:3" s="181" customFormat="1" hidden="1" x14ac:dyDescent="0.2">
      <c r="C2833" s="180"/>
    </row>
    <row r="2834" spans="3:3" s="181" customFormat="1" hidden="1" x14ac:dyDescent="0.2">
      <c r="C2834" s="180"/>
    </row>
    <row r="2835" spans="3:3" s="181" customFormat="1" hidden="1" x14ac:dyDescent="0.2">
      <c r="C2835" s="180"/>
    </row>
    <row r="2836" spans="3:3" s="181" customFormat="1" hidden="1" x14ac:dyDescent="0.2">
      <c r="C2836" s="180"/>
    </row>
    <row r="2837" spans="3:3" s="181" customFormat="1" hidden="1" x14ac:dyDescent="0.2">
      <c r="C2837" s="180"/>
    </row>
    <row r="2838" spans="3:3" s="181" customFormat="1" hidden="1" x14ac:dyDescent="0.2">
      <c r="C2838" s="180"/>
    </row>
    <row r="2839" spans="3:3" s="181" customFormat="1" hidden="1" x14ac:dyDescent="0.2">
      <c r="C2839" s="180"/>
    </row>
    <row r="2840" spans="3:3" s="181" customFormat="1" hidden="1" x14ac:dyDescent="0.2">
      <c r="C2840" s="180"/>
    </row>
    <row r="2841" spans="3:3" s="181" customFormat="1" hidden="1" x14ac:dyDescent="0.2">
      <c r="C2841" s="180"/>
    </row>
    <row r="2842" spans="3:3" s="181" customFormat="1" hidden="1" x14ac:dyDescent="0.2">
      <c r="C2842" s="180"/>
    </row>
    <row r="2843" spans="3:3" s="181" customFormat="1" hidden="1" x14ac:dyDescent="0.2">
      <c r="C2843" s="180"/>
    </row>
    <row r="2844" spans="3:3" s="181" customFormat="1" hidden="1" x14ac:dyDescent="0.2">
      <c r="C2844" s="180"/>
    </row>
    <row r="2845" spans="3:3" s="181" customFormat="1" hidden="1" x14ac:dyDescent="0.2">
      <c r="C2845" s="180"/>
    </row>
    <row r="2846" spans="3:3" s="181" customFormat="1" hidden="1" x14ac:dyDescent="0.2">
      <c r="C2846" s="180"/>
    </row>
    <row r="2847" spans="3:3" s="181" customFormat="1" hidden="1" x14ac:dyDescent="0.2">
      <c r="C2847" s="180"/>
    </row>
    <row r="2848" spans="3:3" s="181" customFormat="1" hidden="1" x14ac:dyDescent="0.2">
      <c r="C2848" s="180"/>
    </row>
    <row r="2849" spans="3:3" s="181" customFormat="1" hidden="1" x14ac:dyDescent="0.2">
      <c r="C2849" s="180"/>
    </row>
    <row r="2850" spans="3:3" s="181" customFormat="1" hidden="1" x14ac:dyDescent="0.2">
      <c r="C2850" s="180"/>
    </row>
    <row r="2851" spans="3:3" s="181" customFormat="1" hidden="1" x14ac:dyDescent="0.2">
      <c r="C2851" s="180"/>
    </row>
    <row r="2852" spans="3:3" s="181" customFormat="1" hidden="1" x14ac:dyDescent="0.2">
      <c r="C2852" s="180"/>
    </row>
    <row r="2853" spans="3:3" s="181" customFormat="1" hidden="1" x14ac:dyDescent="0.2">
      <c r="C2853" s="180"/>
    </row>
    <row r="2854" spans="3:3" s="181" customFormat="1" hidden="1" x14ac:dyDescent="0.2">
      <c r="C2854" s="180"/>
    </row>
    <row r="2855" spans="3:3" s="181" customFormat="1" hidden="1" x14ac:dyDescent="0.2">
      <c r="C2855" s="180"/>
    </row>
    <row r="2856" spans="3:3" s="181" customFormat="1" hidden="1" x14ac:dyDescent="0.2">
      <c r="C2856" s="180"/>
    </row>
    <row r="2857" spans="3:3" s="181" customFormat="1" hidden="1" x14ac:dyDescent="0.2">
      <c r="C2857" s="180"/>
    </row>
    <row r="2858" spans="3:3" s="181" customFormat="1" hidden="1" x14ac:dyDescent="0.2">
      <c r="C2858" s="180"/>
    </row>
    <row r="2859" spans="3:3" s="181" customFormat="1" hidden="1" x14ac:dyDescent="0.2">
      <c r="C2859" s="180"/>
    </row>
    <row r="2860" spans="3:3" s="181" customFormat="1" hidden="1" x14ac:dyDescent="0.2">
      <c r="C2860" s="180"/>
    </row>
    <row r="2861" spans="3:3" s="181" customFormat="1" hidden="1" x14ac:dyDescent="0.2">
      <c r="C2861" s="180"/>
    </row>
    <row r="2862" spans="3:3" s="181" customFormat="1" hidden="1" x14ac:dyDescent="0.2">
      <c r="C2862" s="180"/>
    </row>
    <row r="2863" spans="3:3" s="181" customFormat="1" hidden="1" x14ac:dyDescent="0.2">
      <c r="C2863" s="180"/>
    </row>
    <row r="2864" spans="3:3" s="181" customFormat="1" hidden="1" x14ac:dyDescent="0.2">
      <c r="C2864" s="180"/>
    </row>
    <row r="2865" spans="3:3" s="181" customFormat="1" hidden="1" x14ac:dyDescent="0.2">
      <c r="C2865" s="180"/>
    </row>
    <row r="2866" spans="3:3" s="181" customFormat="1" hidden="1" x14ac:dyDescent="0.2">
      <c r="C2866" s="180"/>
    </row>
    <row r="2867" spans="3:3" s="181" customFormat="1" hidden="1" x14ac:dyDescent="0.2">
      <c r="C2867" s="180"/>
    </row>
    <row r="2868" spans="3:3" s="181" customFormat="1" hidden="1" x14ac:dyDescent="0.2">
      <c r="C2868" s="180"/>
    </row>
    <row r="2869" spans="3:3" s="181" customFormat="1" hidden="1" x14ac:dyDescent="0.2">
      <c r="C2869" s="180"/>
    </row>
    <row r="2870" spans="3:3" s="181" customFormat="1" hidden="1" x14ac:dyDescent="0.2">
      <c r="C2870" s="180"/>
    </row>
    <row r="2871" spans="3:3" s="181" customFormat="1" hidden="1" x14ac:dyDescent="0.2">
      <c r="C2871" s="180"/>
    </row>
    <row r="2872" spans="3:3" s="181" customFormat="1" hidden="1" x14ac:dyDescent="0.2">
      <c r="C2872" s="180"/>
    </row>
    <row r="2873" spans="3:3" s="181" customFormat="1" hidden="1" x14ac:dyDescent="0.2">
      <c r="C2873" s="180"/>
    </row>
    <row r="2874" spans="3:3" s="181" customFormat="1" hidden="1" x14ac:dyDescent="0.2">
      <c r="C2874" s="180"/>
    </row>
    <row r="2875" spans="3:3" s="181" customFormat="1" hidden="1" x14ac:dyDescent="0.2">
      <c r="C2875" s="180"/>
    </row>
    <row r="2876" spans="3:3" s="181" customFormat="1" hidden="1" x14ac:dyDescent="0.2">
      <c r="C2876" s="180"/>
    </row>
    <row r="2877" spans="3:3" s="181" customFormat="1" hidden="1" x14ac:dyDescent="0.2">
      <c r="C2877" s="180"/>
    </row>
    <row r="2878" spans="3:3" s="181" customFormat="1" hidden="1" x14ac:dyDescent="0.2">
      <c r="C2878" s="180"/>
    </row>
    <row r="2879" spans="3:3" s="181" customFormat="1" hidden="1" x14ac:dyDescent="0.2">
      <c r="C2879" s="180"/>
    </row>
    <row r="2880" spans="3:3" s="181" customFormat="1" hidden="1" x14ac:dyDescent="0.2">
      <c r="C2880" s="180"/>
    </row>
    <row r="2881" spans="3:3" s="181" customFormat="1" hidden="1" x14ac:dyDescent="0.2">
      <c r="C2881" s="180"/>
    </row>
    <row r="2882" spans="3:3" s="181" customFormat="1" hidden="1" x14ac:dyDescent="0.2">
      <c r="C2882" s="180"/>
    </row>
    <row r="2883" spans="3:3" s="181" customFormat="1" hidden="1" x14ac:dyDescent="0.2">
      <c r="C2883" s="180"/>
    </row>
    <row r="2884" spans="3:3" s="181" customFormat="1" hidden="1" x14ac:dyDescent="0.2">
      <c r="C2884" s="180"/>
    </row>
    <row r="2885" spans="3:3" s="181" customFormat="1" hidden="1" x14ac:dyDescent="0.2">
      <c r="C2885" s="180"/>
    </row>
    <row r="2886" spans="3:3" s="181" customFormat="1" hidden="1" x14ac:dyDescent="0.2">
      <c r="C2886" s="180"/>
    </row>
    <row r="2887" spans="3:3" s="181" customFormat="1" hidden="1" x14ac:dyDescent="0.2">
      <c r="C2887" s="180"/>
    </row>
    <row r="2888" spans="3:3" s="181" customFormat="1" hidden="1" x14ac:dyDescent="0.2">
      <c r="C2888" s="180"/>
    </row>
    <row r="2889" spans="3:3" s="181" customFormat="1" hidden="1" x14ac:dyDescent="0.2">
      <c r="C2889" s="180"/>
    </row>
    <row r="2890" spans="3:3" s="181" customFormat="1" hidden="1" x14ac:dyDescent="0.2">
      <c r="C2890" s="180"/>
    </row>
    <row r="2891" spans="3:3" s="181" customFormat="1" hidden="1" x14ac:dyDescent="0.2">
      <c r="C2891" s="180"/>
    </row>
    <row r="2892" spans="3:3" s="181" customFormat="1" hidden="1" x14ac:dyDescent="0.2">
      <c r="C2892" s="180"/>
    </row>
    <row r="2893" spans="3:3" s="181" customFormat="1" hidden="1" x14ac:dyDescent="0.2">
      <c r="C2893" s="180"/>
    </row>
    <row r="2894" spans="3:3" s="181" customFormat="1" hidden="1" x14ac:dyDescent="0.2">
      <c r="C2894" s="180"/>
    </row>
    <row r="2895" spans="3:3" s="181" customFormat="1" hidden="1" x14ac:dyDescent="0.2">
      <c r="C2895" s="180"/>
    </row>
    <row r="2896" spans="3:3" s="181" customFormat="1" hidden="1" x14ac:dyDescent="0.2">
      <c r="C2896" s="180"/>
    </row>
    <row r="2897" spans="3:3" s="181" customFormat="1" hidden="1" x14ac:dyDescent="0.2">
      <c r="C2897" s="180"/>
    </row>
    <row r="2898" spans="3:3" s="181" customFormat="1" hidden="1" x14ac:dyDescent="0.2">
      <c r="C2898" s="180"/>
    </row>
    <row r="2899" spans="3:3" s="181" customFormat="1" hidden="1" x14ac:dyDescent="0.2">
      <c r="C2899" s="180"/>
    </row>
    <row r="2900" spans="3:3" s="181" customFormat="1" hidden="1" x14ac:dyDescent="0.2">
      <c r="C2900" s="180"/>
    </row>
    <row r="2901" spans="3:3" s="181" customFormat="1" hidden="1" x14ac:dyDescent="0.2">
      <c r="C2901" s="180"/>
    </row>
    <row r="2902" spans="3:3" s="181" customFormat="1" hidden="1" x14ac:dyDescent="0.2">
      <c r="C2902" s="180"/>
    </row>
    <row r="2903" spans="3:3" s="181" customFormat="1" hidden="1" x14ac:dyDescent="0.2">
      <c r="C2903" s="180"/>
    </row>
    <row r="2904" spans="3:3" s="181" customFormat="1" hidden="1" x14ac:dyDescent="0.2">
      <c r="C2904" s="180"/>
    </row>
    <row r="2905" spans="3:3" s="181" customFormat="1" hidden="1" x14ac:dyDescent="0.2">
      <c r="C2905" s="180"/>
    </row>
    <row r="2906" spans="3:3" s="181" customFormat="1" hidden="1" x14ac:dyDescent="0.2">
      <c r="C2906" s="180"/>
    </row>
    <row r="2907" spans="3:3" s="181" customFormat="1" hidden="1" x14ac:dyDescent="0.2">
      <c r="C2907" s="180"/>
    </row>
    <row r="2908" spans="3:3" s="181" customFormat="1" hidden="1" x14ac:dyDescent="0.2">
      <c r="C2908" s="180"/>
    </row>
    <row r="2909" spans="3:3" s="181" customFormat="1" hidden="1" x14ac:dyDescent="0.2">
      <c r="C2909" s="180"/>
    </row>
    <row r="2910" spans="3:3" s="181" customFormat="1" hidden="1" x14ac:dyDescent="0.2">
      <c r="C2910" s="180"/>
    </row>
    <row r="2911" spans="3:3" s="181" customFormat="1" hidden="1" x14ac:dyDescent="0.2">
      <c r="C2911" s="180"/>
    </row>
    <row r="2912" spans="3:3" s="181" customFormat="1" hidden="1" x14ac:dyDescent="0.2">
      <c r="C2912" s="180"/>
    </row>
    <row r="2913" spans="3:3" s="181" customFormat="1" hidden="1" x14ac:dyDescent="0.2">
      <c r="C2913" s="180"/>
    </row>
    <row r="2914" spans="3:3" s="181" customFormat="1" hidden="1" x14ac:dyDescent="0.2">
      <c r="C2914" s="180"/>
    </row>
    <row r="2915" spans="3:3" s="181" customFormat="1" hidden="1" x14ac:dyDescent="0.2">
      <c r="C2915" s="180"/>
    </row>
    <row r="2916" spans="3:3" s="181" customFormat="1" hidden="1" x14ac:dyDescent="0.2">
      <c r="C2916" s="180"/>
    </row>
    <row r="2917" spans="3:3" s="181" customFormat="1" hidden="1" x14ac:dyDescent="0.2">
      <c r="C2917" s="180"/>
    </row>
    <row r="2918" spans="3:3" s="181" customFormat="1" hidden="1" x14ac:dyDescent="0.2">
      <c r="C2918" s="180"/>
    </row>
    <row r="2919" spans="3:3" s="181" customFormat="1" hidden="1" x14ac:dyDescent="0.2">
      <c r="C2919" s="180"/>
    </row>
    <row r="2920" spans="3:3" s="181" customFormat="1" hidden="1" x14ac:dyDescent="0.2">
      <c r="C2920" s="180"/>
    </row>
    <row r="2921" spans="3:3" s="181" customFormat="1" hidden="1" x14ac:dyDescent="0.2">
      <c r="C2921" s="180"/>
    </row>
    <row r="2922" spans="3:3" s="181" customFormat="1" hidden="1" x14ac:dyDescent="0.2">
      <c r="C2922" s="180"/>
    </row>
    <row r="2923" spans="3:3" s="181" customFormat="1" hidden="1" x14ac:dyDescent="0.2">
      <c r="C2923" s="180"/>
    </row>
    <row r="2924" spans="3:3" s="181" customFormat="1" hidden="1" x14ac:dyDescent="0.2">
      <c r="C2924" s="180"/>
    </row>
    <row r="2925" spans="3:3" s="181" customFormat="1" hidden="1" x14ac:dyDescent="0.2">
      <c r="C2925" s="180"/>
    </row>
    <row r="2926" spans="3:3" s="181" customFormat="1" hidden="1" x14ac:dyDescent="0.2">
      <c r="C2926" s="180"/>
    </row>
    <row r="2927" spans="3:3" s="181" customFormat="1" hidden="1" x14ac:dyDescent="0.2">
      <c r="C2927" s="180"/>
    </row>
    <row r="2928" spans="3:3" s="181" customFormat="1" hidden="1" x14ac:dyDescent="0.2">
      <c r="C2928" s="180"/>
    </row>
    <row r="2929" spans="3:3" s="181" customFormat="1" hidden="1" x14ac:dyDescent="0.2">
      <c r="C2929" s="180"/>
    </row>
    <row r="2930" spans="3:3" s="181" customFormat="1" hidden="1" x14ac:dyDescent="0.2">
      <c r="C2930" s="180"/>
    </row>
    <row r="2931" spans="3:3" s="181" customFormat="1" hidden="1" x14ac:dyDescent="0.2">
      <c r="C2931" s="180"/>
    </row>
    <row r="2932" spans="3:3" s="181" customFormat="1" hidden="1" x14ac:dyDescent="0.2">
      <c r="C2932" s="180"/>
    </row>
    <row r="2933" spans="3:3" s="181" customFormat="1" hidden="1" x14ac:dyDescent="0.2">
      <c r="C2933" s="180"/>
    </row>
    <row r="2934" spans="3:3" s="181" customFormat="1" hidden="1" x14ac:dyDescent="0.2">
      <c r="C2934" s="180"/>
    </row>
    <row r="2935" spans="3:3" s="181" customFormat="1" hidden="1" x14ac:dyDescent="0.2">
      <c r="C2935" s="180"/>
    </row>
    <row r="2936" spans="3:3" s="181" customFormat="1" hidden="1" x14ac:dyDescent="0.2">
      <c r="C2936" s="180"/>
    </row>
    <row r="2937" spans="3:3" s="181" customFormat="1" hidden="1" x14ac:dyDescent="0.2">
      <c r="C2937" s="180"/>
    </row>
    <row r="2938" spans="3:3" s="181" customFormat="1" hidden="1" x14ac:dyDescent="0.2">
      <c r="C2938" s="180"/>
    </row>
    <row r="2939" spans="3:3" s="181" customFormat="1" hidden="1" x14ac:dyDescent="0.2">
      <c r="C2939" s="180"/>
    </row>
    <row r="2940" spans="3:3" s="181" customFormat="1" hidden="1" x14ac:dyDescent="0.2">
      <c r="C2940" s="180"/>
    </row>
    <row r="2941" spans="3:3" s="181" customFormat="1" hidden="1" x14ac:dyDescent="0.2">
      <c r="C2941" s="180"/>
    </row>
    <row r="2942" spans="3:3" s="181" customFormat="1" hidden="1" x14ac:dyDescent="0.2">
      <c r="C2942" s="180"/>
    </row>
    <row r="2943" spans="3:3" s="181" customFormat="1" hidden="1" x14ac:dyDescent="0.2">
      <c r="C2943" s="180"/>
    </row>
    <row r="2944" spans="3:3" s="181" customFormat="1" hidden="1" x14ac:dyDescent="0.2">
      <c r="C2944" s="180"/>
    </row>
    <row r="2945" spans="3:3" s="181" customFormat="1" hidden="1" x14ac:dyDescent="0.2">
      <c r="C2945" s="180"/>
    </row>
    <row r="2946" spans="3:3" s="181" customFormat="1" hidden="1" x14ac:dyDescent="0.2">
      <c r="C2946" s="180"/>
    </row>
    <row r="2947" spans="3:3" s="181" customFormat="1" hidden="1" x14ac:dyDescent="0.2">
      <c r="C2947" s="180"/>
    </row>
    <row r="2948" spans="3:3" s="181" customFormat="1" hidden="1" x14ac:dyDescent="0.2">
      <c r="C2948" s="180"/>
    </row>
    <row r="2949" spans="3:3" s="181" customFormat="1" hidden="1" x14ac:dyDescent="0.2">
      <c r="C2949" s="180"/>
    </row>
    <row r="2950" spans="3:3" s="181" customFormat="1" hidden="1" x14ac:dyDescent="0.2">
      <c r="C2950" s="180"/>
    </row>
    <row r="2951" spans="3:3" s="181" customFormat="1" hidden="1" x14ac:dyDescent="0.2">
      <c r="C2951" s="180"/>
    </row>
    <row r="2952" spans="3:3" s="181" customFormat="1" hidden="1" x14ac:dyDescent="0.2">
      <c r="C2952" s="180"/>
    </row>
    <row r="2953" spans="3:3" s="181" customFormat="1" hidden="1" x14ac:dyDescent="0.2">
      <c r="C2953" s="180"/>
    </row>
    <row r="2954" spans="3:3" s="181" customFormat="1" hidden="1" x14ac:dyDescent="0.2">
      <c r="C2954" s="180"/>
    </row>
    <row r="2955" spans="3:3" s="181" customFormat="1" hidden="1" x14ac:dyDescent="0.2">
      <c r="C2955" s="180"/>
    </row>
    <row r="2956" spans="3:3" s="181" customFormat="1" hidden="1" x14ac:dyDescent="0.2">
      <c r="C2956" s="180"/>
    </row>
    <row r="2957" spans="3:3" s="181" customFormat="1" hidden="1" x14ac:dyDescent="0.2">
      <c r="C2957" s="180"/>
    </row>
    <row r="2958" spans="3:3" s="181" customFormat="1" hidden="1" x14ac:dyDescent="0.2">
      <c r="C2958" s="180"/>
    </row>
    <row r="2959" spans="3:3" s="181" customFormat="1" hidden="1" x14ac:dyDescent="0.2">
      <c r="C2959" s="180"/>
    </row>
    <row r="2960" spans="3:3" s="181" customFormat="1" hidden="1" x14ac:dyDescent="0.2">
      <c r="C2960" s="180"/>
    </row>
    <row r="2961" spans="3:3" s="181" customFormat="1" hidden="1" x14ac:dyDescent="0.2">
      <c r="C2961" s="180"/>
    </row>
    <row r="2962" spans="3:3" s="181" customFormat="1" hidden="1" x14ac:dyDescent="0.2">
      <c r="C2962" s="180"/>
    </row>
    <row r="2963" spans="3:3" s="181" customFormat="1" hidden="1" x14ac:dyDescent="0.2">
      <c r="C2963" s="180"/>
    </row>
    <row r="2964" spans="3:3" s="181" customFormat="1" hidden="1" x14ac:dyDescent="0.2">
      <c r="C2964" s="180"/>
    </row>
    <row r="2965" spans="3:3" s="181" customFormat="1" hidden="1" x14ac:dyDescent="0.2">
      <c r="C2965" s="180"/>
    </row>
    <row r="2966" spans="3:3" s="181" customFormat="1" hidden="1" x14ac:dyDescent="0.2">
      <c r="C2966" s="180"/>
    </row>
    <row r="2967" spans="3:3" s="181" customFormat="1" hidden="1" x14ac:dyDescent="0.2">
      <c r="C2967" s="180"/>
    </row>
    <row r="2968" spans="3:3" s="181" customFormat="1" hidden="1" x14ac:dyDescent="0.2">
      <c r="C2968" s="180"/>
    </row>
    <row r="2969" spans="3:3" s="181" customFormat="1" hidden="1" x14ac:dyDescent="0.2">
      <c r="C2969" s="180"/>
    </row>
    <row r="2970" spans="3:3" s="181" customFormat="1" hidden="1" x14ac:dyDescent="0.2">
      <c r="C2970" s="180"/>
    </row>
    <row r="2971" spans="3:3" s="181" customFormat="1" hidden="1" x14ac:dyDescent="0.2">
      <c r="C2971" s="180"/>
    </row>
    <row r="2972" spans="3:3" s="181" customFormat="1" hidden="1" x14ac:dyDescent="0.2">
      <c r="C2972" s="180"/>
    </row>
    <row r="2973" spans="3:3" s="181" customFormat="1" hidden="1" x14ac:dyDescent="0.2">
      <c r="C2973" s="180"/>
    </row>
    <row r="2974" spans="3:3" s="181" customFormat="1" hidden="1" x14ac:dyDescent="0.2">
      <c r="C2974" s="180"/>
    </row>
    <row r="2975" spans="3:3" s="181" customFormat="1" hidden="1" x14ac:dyDescent="0.2">
      <c r="C2975" s="180"/>
    </row>
    <row r="2976" spans="3:3" s="181" customFormat="1" hidden="1" x14ac:dyDescent="0.2">
      <c r="C2976" s="180"/>
    </row>
    <row r="2977" spans="3:3" s="181" customFormat="1" hidden="1" x14ac:dyDescent="0.2">
      <c r="C2977" s="180"/>
    </row>
    <row r="2978" spans="3:3" s="181" customFormat="1" hidden="1" x14ac:dyDescent="0.2">
      <c r="C2978" s="180"/>
    </row>
    <row r="2979" spans="3:3" s="181" customFormat="1" hidden="1" x14ac:dyDescent="0.2">
      <c r="C2979" s="180"/>
    </row>
    <row r="2980" spans="3:3" s="181" customFormat="1" hidden="1" x14ac:dyDescent="0.2">
      <c r="C2980" s="180"/>
    </row>
    <row r="2981" spans="3:3" s="181" customFormat="1" hidden="1" x14ac:dyDescent="0.2">
      <c r="C2981" s="180"/>
    </row>
    <row r="2982" spans="3:3" s="181" customFormat="1" hidden="1" x14ac:dyDescent="0.2">
      <c r="C2982" s="180"/>
    </row>
    <row r="2983" spans="3:3" s="181" customFormat="1" hidden="1" x14ac:dyDescent="0.2">
      <c r="C2983" s="180"/>
    </row>
    <row r="2984" spans="3:3" s="181" customFormat="1" hidden="1" x14ac:dyDescent="0.2">
      <c r="C2984" s="180"/>
    </row>
    <row r="2985" spans="3:3" s="181" customFormat="1" hidden="1" x14ac:dyDescent="0.2">
      <c r="C2985" s="180"/>
    </row>
    <row r="2986" spans="3:3" s="181" customFormat="1" hidden="1" x14ac:dyDescent="0.2">
      <c r="C2986" s="180"/>
    </row>
    <row r="2987" spans="3:3" s="181" customFormat="1" hidden="1" x14ac:dyDescent="0.2">
      <c r="C2987" s="180"/>
    </row>
    <row r="2988" spans="3:3" s="181" customFormat="1" hidden="1" x14ac:dyDescent="0.2">
      <c r="C2988" s="180"/>
    </row>
    <row r="2989" spans="3:3" s="181" customFormat="1" hidden="1" x14ac:dyDescent="0.2">
      <c r="C2989" s="180"/>
    </row>
    <row r="2990" spans="3:3" s="181" customFormat="1" hidden="1" x14ac:dyDescent="0.2">
      <c r="C2990" s="180"/>
    </row>
    <row r="2991" spans="3:3" s="181" customFormat="1" hidden="1" x14ac:dyDescent="0.2">
      <c r="C2991" s="180"/>
    </row>
    <row r="2992" spans="3:3" s="181" customFormat="1" hidden="1" x14ac:dyDescent="0.2">
      <c r="C2992" s="180"/>
    </row>
    <row r="2993" spans="3:3" s="181" customFormat="1" hidden="1" x14ac:dyDescent="0.2">
      <c r="C2993" s="180"/>
    </row>
    <row r="2994" spans="3:3" s="181" customFormat="1" hidden="1" x14ac:dyDescent="0.2">
      <c r="C2994" s="180"/>
    </row>
    <row r="2995" spans="3:3" s="181" customFormat="1" hidden="1" x14ac:dyDescent="0.2">
      <c r="C2995" s="180"/>
    </row>
    <row r="2996" spans="3:3" s="181" customFormat="1" hidden="1" x14ac:dyDescent="0.2">
      <c r="C2996" s="180"/>
    </row>
    <row r="2997" spans="3:3" s="181" customFormat="1" hidden="1" x14ac:dyDescent="0.2">
      <c r="C2997" s="180"/>
    </row>
    <row r="2998" spans="3:3" s="181" customFormat="1" hidden="1" x14ac:dyDescent="0.2">
      <c r="C2998" s="180"/>
    </row>
    <row r="2999" spans="3:3" s="181" customFormat="1" hidden="1" x14ac:dyDescent="0.2">
      <c r="C2999" s="180"/>
    </row>
    <row r="3000" spans="3:3" s="181" customFormat="1" hidden="1" x14ac:dyDescent="0.2">
      <c r="C3000" s="180"/>
    </row>
    <row r="3001" spans="3:3" s="181" customFormat="1" hidden="1" x14ac:dyDescent="0.2">
      <c r="C3001" s="180"/>
    </row>
    <row r="3002" spans="3:3" s="181" customFormat="1" hidden="1" x14ac:dyDescent="0.2">
      <c r="C3002" s="180"/>
    </row>
    <row r="3003" spans="3:3" s="181" customFormat="1" hidden="1" x14ac:dyDescent="0.2">
      <c r="C3003" s="180"/>
    </row>
    <row r="3004" spans="3:3" s="181" customFormat="1" hidden="1" x14ac:dyDescent="0.2">
      <c r="C3004" s="180"/>
    </row>
    <row r="3005" spans="3:3" s="181" customFormat="1" hidden="1" x14ac:dyDescent="0.2">
      <c r="C3005" s="180"/>
    </row>
    <row r="3006" spans="3:3" s="181" customFormat="1" hidden="1" x14ac:dyDescent="0.2">
      <c r="C3006" s="180"/>
    </row>
    <row r="3007" spans="3:3" s="181" customFormat="1" hidden="1" x14ac:dyDescent="0.2">
      <c r="C3007" s="180"/>
    </row>
    <row r="3008" spans="3:3" s="181" customFormat="1" hidden="1" x14ac:dyDescent="0.2">
      <c r="C3008" s="180"/>
    </row>
    <row r="3009" spans="3:3" s="181" customFormat="1" hidden="1" x14ac:dyDescent="0.2">
      <c r="C3009" s="180"/>
    </row>
    <row r="3010" spans="3:3" s="181" customFormat="1" hidden="1" x14ac:dyDescent="0.2">
      <c r="C3010" s="180"/>
    </row>
    <row r="3011" spans="3:3" s="181" customFormat="1" hidden="1" x14ac:dyDescent="0.2">
      <c r="C3011" s="180"/>
    </row>
    <row r="3012" spans="3:3" s="181" customFormat="1" hidden="1" x14ac:dyDescent="0.2">
      <c r="C3012" s="180"/>
    </row>
    <row r="3013" spans="3:3" s="181" customFormat="1" hidden="1" x14ac:dyDescent="0.2">
      <c r="C3013" s="180"/>
    </row>
    <row r="3014" spans="3:3" s="181" customFormat="1" hidden="1" x14ac:dyDescent="0.2">
      <c r="C3014" s="180"/>
    </row>
    <row r="3015" spans="3:3" s="181" customFormat="1" hidden="1" x14ac:dyDescent="0.2">
      <c r="C3015" s="180"/>
    </row>
    <row r="3016" spans="3:3" s="181" customFormat="1" hidden="1" x14ac:dyDescent="0.2">
      <c r="C3016" s="180"/>
    </row>
    <row r="3017" spans="3:3" s="181" customFormat="1" hidden="1" x14ac:dyDescent="0.2">
      <c r="C3017" s="180"/>
    </row>
    <row r="3018" spans="3:3" s="181" customFormat="1" hidden="1" x14ac:dyDescent="0.2">
      <c r="C3018" s="180"/>
    </row>
    <row r="3019" spans="3:3" s="181" customFormat="1" hidden="1" x14ac:dyDescent="0.2">
      <c r="C3019" s="180"/>
    </row>
    <row r="3020" spans="3:3" s="181" customFormat="1" hidden="1" x14ac:dyDescent="0.2">
      <c r="C3020" s="180"/>
    </row>
    <row r="3021" spans="3:3" s="181" customFormat="1" hidden="1" x14ac:dyDescent="0.2">
      <c r="C3021" s="180"/>
    </row>
    <row r="3022" spans="3:3" s="181" customFormat="1" hidden="1" x14ac:dyDescent="0.2">
      <c r="C3022" s="180"/>
    </row>
    <row r="3023" spans="3:3" s="181" customFormat="1" hidden="1" x14ac:dyDescent="0.2">
      <c r="C3023" s="180"/>
    </row>
    <row r="3024" spans="3:3" s="181" customFormat="1" hidden="1" x14ac:dyDescent="0.2">
      <c r="C3024" s="180"/>
    </row>
    <row r="3025" spans="3:3" s="181" customFormat="1" hidden="1" x14ac:dyDescent="0.2">
      <c r="C3025" s="180"/>
    </row>
    <row r="3026" spans="3:3" s="181" customFormat="1" hidden="1" x14ac:dyDescent="0.2">
      <c r="C3026" s="180"/>
    </row>
    <row r="3027" spans="3:3" s="181" customFormat="1" hidden="1" x14ac:dyDescent="0.2">
      <c r="C3027" s="180"/>
    </row>
    <row r="3028" spans="3:3" s="181" customFormat="1" hidden="1" x14ac:dyDescent="0.2">
      <c r="C3028" s="180"/>
    </row>
    <row r="3029" spans="3:3" s="181" customFormat="1" hidden="1" x14ac:dyDescent="0.2">
      <c r="C3029" s="180"/>
    </row>
    <row r="3030" spans="3:3" s="181" customFormat="1" hidden="1" x14ac:dyDescent="0.2">
      <c r="C3030" s="180"/>
    </row>
    <row r="3031" spans="3:3" s="181" customFormat="1" hidden="1" x14ac:dyDescent="0.2">
      <c r="C3031" s="180"/>
    </row>
    <row r="3032" spans="3:3" s="181" customFormat="1" hidden="1" x14ac:dyDescent="0.2">
      <c r="C3032" s="180"/>
    </row>
    <row r="3033" spans="3:3" s="181" customFormat="1" hidden="1" x14ac:dyDescent="0.2">
      <c r="C3033" s="180"/>
    </row>
    <row r="3034" spans="3:3" s="181" customFormat="1" hidden="1" x14ac:dyDescent="0.2">
      <c r="C3034" s="180"/>
    </row>
    <row r="3035" spans="3:3" s="181" customFormat="1" hidden="1" x14ac:dyDescent="0.2">
      <c r="C3035" s="180"/>
    </row>
    <row r="3036" spans="3:3" s="181" customFormat="1" hidden="1" x14ac:dyDescent="0.2">
      <c r="C3036" s="180"/>
    </row>
    <row r="3037" spans="3:3" s="181" customFormat="1" hidden="1" x14ac:dyDescent="0.2">
      <c r="C3037" s="180"/>
    </row>
    <row r="3038" spans="3:3" s="181" customFormat="1" hidden="1" x14ac:dyDescent="0.2">
      <c r="C3038" s="180"/>
    </row>
    <row r="3039" spans="3:3" s="181" customFormat="1" hidden="1" x14ac:dyDescent="0.2">
      <c r="C3039" s="180"/>
    </row>
    <row r="3040" spans="3:3" s="181" customFormat="1" hidden="1" x14ac:dyDescent="0.2">
      <c r="C3040" s="180"/>
    </row>
    <row r="3041" spans="3:3" s="181" customFormat="1" hidden="1" x14ac:dyDescent="0.2">
      <c r="C3041" s="180"/>
    </row>
    <row r="3042" spans="3:3" s="181" customFormat="1" hidden="1" x14ac:dyDescent="0.2">
      <c r="C3042" s="180"/>
    </row>
    <row r="3043" spans="3:3" s="181" customFormat="1" hidden="1" x14ac:dyDescent="0.2">
      <c r="C3043" s="180"/>
    </row>
    <row r="3044" spans="3:3" s="181" customFormat="1" hidden="1" x14ac:dyDescent="0.2">
      <c r="C3044" s="180"/>
    </row>
    <row r="3045" spans="3:3" s="181" customFormat="1" hidden="1" x14ac:dyDescent="0.2">
      <c r="C3045" s="180"/>
    </row>
    <row r="3046" spans="3:3" s="181" customFormat="1" hidden="1" x14ac:dyDescent="0.2">
      <c r="C3046" s="180"/>
    </row>
    <row r="3047" spans="3:3" s="181" customFormat="1" hidden="1" x14ac:dyDescent="0.2">
      <c r="C3047" s="180"/>
    </row>
    <row r="3048" spans="3:3" s="181" customFormat="1" hidden="1" x14ac:dyDescent="0.2">
      <c r="C3048" s="180"/>
    </row>
    <row r="3049" spans="3:3" s="181" customFormat="1" hidden="1" x14ac:dyDescent="0.2">
      <c r="C3049" s="180"/>
    </row>
    <row r="3050" spans="3:3" s="181" customFormat="1" hidden="1" x14ac:dyDescent="0.2">
      <c r="C3050" s="180"/>
    </row>
    <row r="3051" spans="3:3" s="181" customFormat="1" hidden="1" x14ac:dyDescent="0.2">
      <c r="C3051" s="180"/>
    </row>
    <row r="3052" spans="3:3" s="181" customFormat="1" hidden="1" x14ac:dyDescent="0.2">
      <c r="C3052" s="180"/>
    </row>
    <row r="3053" spans="3:3" s="181" customFormat="1" hidden="1" x14ac:dyDescent="0.2">
      <c r="C3053" s="180"/>
    </row>
    <row r="3054" spans="3:3" s="181" customFormat="1" hidden="1" x14ac:dyDescent="0.2">
      <c r="C3054" s="180"/>
    </row>
    <row r="3055" spans="3:3" s="181" customFormat="1" hidden="1" x14ac:dyDescent="0.2">
      <c r="C3055" s="180"/>
    </row>
    <row r="3056" spans="3:3" s="181" customFormat="1" hidden="1" x14ac:dyDescent="0.2">
      <c r="C3056" s="180"/>
    </row>
    <row r="3057" spans="3:3" s="181" customFormat="1" hidden="1" x14ac:dyDescent="0.2">
      <c r="C3057" s="180"/>
    </row>
    <row r="3058" spans="3:3" s="181" customFormat="1" hidden="1" x14ac:dyDescent="0.2">
      <c r="C3058" s="180"/>
    </row>
    <row r="3059" spans="3:3" s="181" customFormat="1" hidden="1" x14ac:dyDescent="0.2">
      <c r="C3059" s="180"/>
    </row>
    <row r="3060" spans="3:3" s="181" customFormat="1" hidden="1" x14ac:dyDescent="0.2">
      <c r="C3060" s="180"/>
    </row>
    <row r="3061" spans="3:3" s="181" customFormat="1" hidden="1" x14ac:dyDescent="0.2">
      <c r="C3061" s="180"/>
    </row>
    <row r="3062" spans="3:3" s="181" customFormat="1" hidden="1" x14ac:dyDescent="0.2">
      <c r="C3062" s="180"/>
    </row>
    <row r="3063" spans="3:3" s="181" customFormat="1" hidden="1" x14ac:dyDescent="0.2">
      <c r="C3063" s="180"/>
    </row>
    <row r="3064" spans="3:3" s="181" customFormat="1" hidden="1" x14ac:dyDescent="0.2">
      <c r="C3064" s="180"/>
    </row>
    <row r="3065" spans="3:3" s="181" customFormat="1" hidden="1" x14ac:dyDescent="0.2">
      <c r="C3065" s="180"/>
    </row>
    <row r="3066" spans="3:3" s="181" customFormat="1" hidden="1" x14ac:dyDescent="0.2">
      <c r="C3066" s="180"/>
    </row>
    <row r="3067" spans="3:3" s="181" customFormat="1" hidden="1" x14ac:dyDescent="0.2">
      <c r="C3067" s="180"/>
    </row>
    <row r="3068" spans="3:3" s="181" customFormat="1" hidden="1" x14ac:dyDescent="0.2">
      <c r="C3068" s="180"/>
    </row>
    <row r="3069" spans="3:3" s="181" customFormat="1" hidden="1" x14ac:dyDescent="0.2">
      <c r="C3069" s="180"/>
    </row>
    <row r="3070" spans="3:3" s="181" customFormat="1" hidden="1" x14ac:dyDescent="0.2">
      <c r="C3070" s="180"/>
    </row>
    <row r="3071" spans="3:3" s="181" customFormat="1" hidden="1" x14ac:dyDescent="0.2">
      <c r="C3071" s="180"/>
    </row>
    <row r="3072" spans="3:3" s="181" customFormat="1" hidden="1" x14ac:dyDescent="0.2">
      <c r="C3072" s="180"/>
    </row>
    <row r="3073" spans="3:3" s="181" customFormat="1" hidden="1" x14ac:dyDescent="0.2">
      <c r="C3073" s="180"/>
    </row>
    <row r="3074" spans="3:3" s="181" customFormat="1" hidden="1" x14ac:dyDescent="0.2">
      <c r="C3074" s="180"/>
    </row>
    <row r="3075" spans="3:3" s="181" customFormat="1" hidden="1" x14ac:dyDescent="0.2">
      <c r="C3075" s="180"/>
    </row>
    <row r="3076" spans="3:3" s="181" customFormat="1" hidden="1" x14ac:dyDescent="0.2">
      <c r="C3076" s="180"/>
    </row>
    <row r="3077" spans="3:3" s="181" customFormat="1" hidden="1" x14ac:dyDescent="0.2">
      <c r="C3077" s="180"/>
    </row>
    <row r="3078" spans="3:3" s="181" customFormat="1" hidden="1" x14ac:dyDescent="0.2">
      <c r="C3078" s="180"/>
    </row>
    <row r="3079" spans="3:3" s="181" customFormat="1" hidden="1" x14ac:dyDescent="0.2">
      <c r="C3079" s="180"/>
    </row>
    <row r="3080" spans="3:3" s="181" customFormat="1" hidden="1" x14ac:dyDescent="0.2">
      <c r="C3080" s="180"/>
    </row>
    <row r="3081" spans="3:3" s="181" customFormat="1" hidden="1" x14ac:dyDescent="0.2">
      <c r="C3081" s="180"/>
    </row>
    <row r="3082" spans="3:3" s="181" customFormat="1" hidden="1" x14ac:dyDescent="0.2">
      <c r="C3082" s="180"/>
    </row>
    <row r="3083" spans="3:3" s="181" customFormat="1" hidden="1" x14ac:dyDescent="0.2">
      <c r="C3083" s="180"/>
    </row>
    <row r="3084" spans="3:3" s="181" customFormat="1" hidden="1" x14ac:dyDescent="0.2">
      <c r="C3084" s="180"/>
    </row>
    <row r="3085" spans="3:3" s="181" customFormat="1" hidden="1" x14ac:dyDescent="0.2">
      <c r="C3085" s="180"/>
    </row>
    <row r="3086" spans="3:3" s="181" customFormat="1" hidden="1" x14ac:dyDescent="0.2">
      <c r="C3086" s="180"/>
    </row>
    <row r="3087" spans="3:3" s="181" customFormat="1" hidden="1" x14ac:dyDescent="0.2">
      <c r="C3087" s="180"/>
    </row>
    <row r="3088" spans="3:3" s="181" customFormat="1" hidden="1" x14ac:dyDescent="0.2">
      <c r="C3088" s="180"/>
    </row>
    <row r="3089" spans="3:3" s="181" customFormat="1" hidden="1" x14ac:dyDescent="0.2">
      <c r="C3089" s="180"/>
    </row>
    <row r="3090" spans="3:3" s="181" customFormat="1" hidden="1" x14ac:dyDescent="0.2">
      <c r="C3090" s="180"/>
    </row>
    <row r="3091" spans="3:3" s="181" customFormat="1" hidden="1" x14ac:dyDescent="0.2">
      <c r="C3091" s="180"/>
    </row>
    <row r="3092" spans="3:3" s="181" customFormat="1" hidden="1" x14ac:dyDescent="0.2">
      <c r="C3092" s="180"/>
    </row>
    <row r="3093" spans="3:3" s="181" customFormat="1" hidden="1" x14ac:dyDescent="0.2">
      <c r="C3093" s="180"/>
    </row>
    <row r="3094" spans="3:3" s="181" customFormat="1" hidden="1" x14ac:dyDescent="0.2">
      <c r="C3094" s="180"/>
    </row>
    <row r="3095" spans="3:3" s="181" customFormat="1" hidden="1" x14ac:dyDescent="0.2">
      <c r="C3095" s="180"/>
    </row>
    <row r="3096" spans="3:3" s="181" customFormat="1" hidden="1" x14ac:dyDescent="0.2">
      <c r="C3096" s="180"/>
    </row>
    <row r="3097" spans="3:3" s="181" customFormat="1" hidden="1" x14ac:dyDescent="0.2">
      <c r="C3097" s="180"/>
    </row>
    <row r="3098" spans="3:3" s="181" customFormat="1" hidden="1" x14ac:dyDescent="0.2">
      <c r="C3098" s="180"/>
    </row>
    <row r="3099" spans="3:3" s="181" customFormat="1" hidden="1" x14ac:dyDescent="0.2">
      <c r="C3099" s="180"/>
    </row>
    <row r="3100" spans="3:3" s="181" customFormat="1" hidden="1" x14ac:dyDescent="0.2">
      <c r="C3100" s="180"/>
    </row>
    <row r="3101" spans="3:3" s="181" customFormat="1" hidden="1" x14ac:dyDescent="0.2">
      <c r="C3101" s="180"/>
    </row>
    <row r="3102" spans="3:3" s="181" customFormat="1" hidden="1" x14ac:dyDescent="0.2">
      <c r="C3102" s="180"/>
    </row>
    <row r="3103" spans="3:3" s="181" customFormat="1" hidden="1" x14ac:dyDescent="0.2">
      <c r="C3103" s="180"/>
    </row>
    <row r="3104" spans="3:3" s="181" customFormat="1" hidden="1" x14ac:dyDescent="0.2">
      <c r="C3104" s="180"/>
    </row>
    <row r="3105" spans="3:3" s="181" customFormat="1" hidden="1" x14ac:dyDescent="0.2">
      <c r="C3105" s="180"/>
    </row>
    <row r="3106" spans="3:3" s="181" customFormat="1" hidden="1" x14ac:dyDescent="0.2">
      <c r="C3106" s="180"/>
    </row>
    <row r="3107" spans="3:3" s="181" customFormat="1" hidden="1" x14ac:dyDescent="0.2">
      <c r="C3107" s="180"/>
    </row>
    <row r="3108" spans="3:3" s="181" customFormat="1" hidden="1" x14ac:dyDescent="0.2">
      <c r="C3108" s="180"/>
    </row>
    <row r="3109" spans="3:3" s="181" customFormat="1" hidden="1" x14ac:dyDescent="0.2">
      <c r="C3109" s="180"/>
    </row>
    <row r="3110" spans="3:3" s="181" customFormat="1" hidden="1" x14ac:dyDescent="0.2">
      <c r="C3110" s="180"/>
    </row>
    <row r="3111" spans="3:3" s="181" customFormat="1" hidden="1" x14ac:dyDescent="0.2">
      <c r="C3111" s="180"/>
    </row>
    <row r="3112" spans="3:3" s="181" customFormat="1" hidden="1" x14ac:dyDescent="0.2">
      <c r="C3112" s="180"/>
    </row>
    <row r="3113" spans="3:3" s="181" customFormat="1" hidden="1" x14ac:dyDescent="0.2">
      <c r="C3113" s="180"/>
    </row>
    <row r="3114" spans="3:3" s="181" customFormat="1" hidden="1" x14ac:dyDescent="0.2">
      <c r="C3114" s="180"/>
    </row>
    <row r="3115" spans="3:3" s="181" customFormat="1" hidden="1" x14ac:dyDescent="0.2">
      <c r="C3115" s="180"/>
    </row>
    <row r="3116" spans="3:3" s="181" customFormat="1" hidden="1" x14ac:dyDescent="0.2">
      <c r="C3116" s="180"/>
    </row>
    <row r="3117" spans="3:3" s="181" customFormat="1" hidden="1" x14ac:dyDescent="0.2">
      <c r="C3117" s="180"/>
    </row>
    <row r="3118" spans="3:3" s="181" customFormat="1" hidden="1" x14ac:dyDescent="0.2">
      <c r="C3118" s="180"/>
    </row>
    <row r="3119" spans="3:3" s="181" customFormat="1" hidden="1" x14ac:dyDescent="0.2">
      <c r="C3119" s="180"/>
    </row>
    <row r="3120" spans="3:3" s="181" customFormat="1" hidden="1" x14ac:dyDescent="0.2">
      <c r="C3120" s="180"/>
    </row>
    <row r="3121" spans="3:3" s="181" customFormat="1" hidden="1" x14ac:dyDescent="0.2">
      <c r="C3121" s="180"/>
    </row>
    <row r="3122" spans="3:3" s="181" customFormat="1" hidden="1" x14ac:dyDescent="0.2">
      <c r="C3122" s="180"/>
    </row>
    <row r="3123" spans="3:3" s="181" customFormat="1" hidden="1" x14ac:dyDescent="0.2">
      <c r="C3123" s="180"/>
    </row>
    <row r="3124" spans="3:3" s="181" customFormat="1" hidden="1" x14ac:dyDescent="0.2">
      <c r="C3124" s="180"/>
    </row>
    <row r="3125" spans="3:3" s="181" customFormat="1" hidden="1" x14ac:dyDescent="0.2">
      <c r="C3125" s="180"/>
    </row>
    <row r="3126" spans="3:3" s="181" customFormat="1" hidden="1" x14ac:dyDescent="0.2">
      <c r="C3126" s="180"/>
    </row>
    <row r="3127" spans="3:3" s="181" customFormat="1" hidden="1" x14ac:dyDescent="0.2">
      <c r="C3127" s="180"/>
    </row>
    <row r="3128" spans="3:3" s="181" customFormat="1" hidden="1" x14ac:dyDescent="0.2">
      <c r="C3128" s="180"/>
    </row>
    <row r="3129" spans="3:3" s="181" customFormat="1" hidden="1" x14ac:dyDescent="0.2">
      <c r="C3129" s="180"/>
    </row>
    <row r="3130" spans="3:3" s="181" customFormat="1" hidden="1" x14ac:dyDescent="0.2">
      <c r="C3130" s="180"/>
    </row>
    <row r="3131" spans="3:3" s="181" customFormat="1" hidden="1" x14ac:dyDescent="0.2">
      <c r="C3131" s="180"/>
    </row>
    <row r="3132" spans="3:3" s="181" customFormat="1" hidden="1" x14ac:dyDescent="0.2">
      <c r="C3132" s="180"/>
    </row>
    <row r="3133" spans="3:3" s="181" customFormat="1" hidden="1" x14ac:dyDescent="0.2">
      <c r="C3133" s="180"/>
    </row>
    <row r="3134" spans="3:3" s="181" customFormat="1" hidden="1" x14ac:dyDescent="0.2">
      <c r="C3134" s="180"/>
    </row>
    <row r="3135" spans="3:3" s="181" customFormat="1" hidden="1" x14ac:dyDescent="0.2">
      <c r="C3135" s="180"/>
    </row>
    <row r="3136" spans="3:3" s="181" customFormat="1" hidden="1" x14ac:dyDescent="0.2">
      <c r="C3136" s="180"/>
    </row>
    <row r="3137" spans="3:3" s="181" customFormat="1" hidden="1" x14ac:dyDescent="0.2">
      <c r="C3137" s="180"/>
    </row>
    <row r="3138" spans="3:3" s="181" customFormat="1" hidden="1" x14ac:dyDescent="0.2">
      <c r="C3138" s="180"/>
    </row>
    <row r="3139" spans="3:3" s="181" customFormat="1" hidden="1" x14ac:dyDescent="0.2">
      <c r="C3139" s="180"/>
    </row>
    <row r="3140" spans="3:3" s="181" customFormat="1" hidden="1" x14ac:dyDescent="0.2">
      <c r="C3140" s="180"/>
    </row>
    <row r="3141" spans="3:3" s="181" customFormat="1" hidden="1" x14ac:dyDescent="0.2">
      <c r="C3141" s="180"/>
    </row>
    <row r="3142" spans="3:3" s="181" customFormat="1" hidden="1" x14ac:dyDescent="0.2">
      <c r="C3142" s="180"/>
    </row>
    <row r="3143" spans="3:3" s="181" customFormat="1" hidden="1" x14ac:dyDescent="0.2">
      <c r="C3143" s="180"/>
    </row>
    <row r="3144" spans="3:3" s="181" customFormat="1" hidden="1" x14ac:dyDescent="0.2">
      <c r="C3144" s="180"/>
    </row>
    <row r="3145" spans="3:3" s="181" customFormat="1" hidden="1" x14ac:dyDescent="0.2">
      <c r="C3145" s="180"/>
    </row>
    <row r="3146" spans="3:3" s="181" customFormat="1" hidden="1" x14ac:dyDescent="0.2">
      <c r="C3146" s="180"/>
    </row>
    <row r="3147" spans="3:3" s="181" customFormat="1" hidden="1" x14ac:dyDescent="0.2">
      <c r="C3147" s="180"/>
    </row>
    <row r="3148" spans="3:3" s="181" customFormat="1" hidden="1" x14ac:dyDescent="0.2">
      <c r="C3148" s="180"/>
    </row>
    <row r="3149" spans="3:3" s="181" customFormat="1" hidden="1" x14ac:dyDescent="0.2">
      <c r="C3149" s="180"/>
    </row>
    <row r="3150" spans="3:3" s="181" customFormat="1" hidden="1" x14ac:dyDescent="0.2">
      <c r="C3150" s="180"/>
    </row>
    <row r="3151" spans="3:3" s="181" customFormat="1" hidden="1" x14ac:dyDescent="0.2">
      <c r="C3151" s="180"/>
    </row>
    <row r="3152" spans="3:3" s="181" customFormat="1" hidden="1" x14ac:dyDescent="0.2">
      <c r="C3152" s="180"/>
    </row>
    <row r="3153" spans="3:3" s="181" customFormat="1" hidden="1" x14ac:dyDescent="0.2">
      <c r="C3153" s="180"/>
    </row>
    <row r="3154" spans="3:3" s="181" customFormat="1" hidden="1" x14ac:dyDescent="0.2">
      <c r="C3154" s="180"/>
    </row>
    <row r="3155" spans="3:3" s="181" customFormat="1" hidden="1" x14ac:dyDescent="0.2">
      <c r="C3155" s="180"/>
    </row>
    <row r="3156" spans="3:3" s="181" customFormat="1" hidden="1" x14ac:dyDescent="0.2">
      <c r="C3156" s="180"/>
    </row>
    <row r="3157" spans="3:3" s="181" customFormat="1" hidden="1" x14ac:dyDescent="0.2">
      <c r="C3157" s="180"/>
    </row>
    <row r="3158" spans="3:3" s="181" customFormat="1" hidden="1" x14ac:dyDescent="0.2">
      <c r="C3158" s="180"/>
    </row>
    <row r="3159" spans="3:3" s="181" customFormat="1" hidden="1" x14ac:dyDescent="0.2">
      <c r="C3159" s="180"/>
    </row>
    <row r="3160" spans="3:3" s="181" customFormat="1" hidden="1" x14ac:dyDescent="0.2">
      <c r="C3160" s="180"/>
    </row>
    <row r="3161" spans="3:3" s="181" customFormat="1" hidden="1" x14ac:dyDescent="0.2">
      <c r="C3161" s="180"/>
    </row>
    <row r="3162" spans="3:3" s="181" customFormat="1" hidden="1" x14ac:dyDescent="0.2">
      <c r="C3162" s="180"/>
    </row>
    <row r="3163" spans="3:3" s="181" customFormat="1" hidden="1" x14ac:dyDescent="0.2">
      <c r="C3163" s="180"/>
    </row>
    <row r="3164" spans="3:3" s="181" customFormat="1" hidden="1" x14ac:dyDescent="0.2">
      <c r="C3164" s="180"/>
    </row>
    <row r="3165" spans="3:3" s="181" customFormat="1" hidden="1" x14ac:dyDescent="0.2">
      <c r="C3165" s="180"/>
    </row>
    <row r="3166" spans="3:3" s="181" customFormat="1" hidden="1" x14ac:dyDescent="0.2">
      <c r="C3166" s="180"/>
    </row>
    <row r="3167" spans="3:3" s="181" customFormat="1" hidden="1" x14ac:dyDescent="0.2">
      <c r="C3167" s="180"/>
    </row>
    <row r="3168" spans="3:3" s="181" customFormat="1" hidden="1" x14ac:dyDescent="0.2">
      <c r="C3168" s="180"/>
    </row>
    <row r="3169" spans="3:3" s="181" customFormat="1" hidden="1" x14ac:dyDescent="0.2">
      <c r="C3169" s="180"/>
    </row>
    <row r="3170" spans="3:3" s="181" customFormat="1" hidden="1" x14ac:dyDescent="0.2">
      <c r="C3170" s="180"/>
    </row>
    <row r="3171" spans="3:3" s="181" customFormat="1" hidden="1" x14ac:dyDescent="0.2">
      <c r="C3171" s="180"/>
    </row>
    <row r="3172" spans="3:3" s="181" customFormat="1" hidden="1" x14ac:dyDescent="0.2">
      <c r="C3172" s="180"/>
    </row>
    <row r="3173" spans="3:3" s="181" customFormat="1" hidden="1" x14ac:dyDescent="0.2">
      <c r="C3173" s="180"/>
    </row>
    <row r="3174" spans="3:3" s="181" customFormat="1" hidden="1" x14ac:dyDescent="0.2">
      <c r="C3174" s="180"/>
    </row>
    <row r="3175" spans="3:3" s="181" customFormat="1" hidden="1" x14ac:dyDescent="0.2">
      <c r="C3175" s="180"/>
    </row>
    <row r="3176" spans="3:3" s="181" customFormat="1" hidden="1" x14ac:dyDescent="0.2">
      <c r="C3176" s="180"/>
    </row>
    <row r="3177" spans="3:3" s="181" customFormat="1" hidden="1" x14ac:dyDescent="0.2">
      <c r="C3177" s="180"/>
    </row>
    <row r="3178" spans="3:3" s="181" customFormat="1" hidden="1" x14ac:dyDescent="0.2">
      <c r="C3178" s="180"/>
    </row>
    <row r="3179" spans="3:3" s="181" customFormat="1" hidden="1" x14ac:dyDescent="0.2">
      <c r="C3179" s="180"/>
    </row>
    <row r="3180" spans="3:3" s="181" customFormat="1" hidden="1" x14ac:dyDescent="0.2">
      <c r="C3180" s="180"/>
    </row>
    <row r="3181" spans="3:3" s="181" customFormat="1" hidden="1" x14ac:dyDescent="0.2">
      <c r="C3181" s="180"/>
    </row>
    <row r="3182" spans="3:3" s="181" customFormat="1" hidden="1" x14ac:dyDescent="0.2">
      <c r="C3182" s="180"/>
    </row>
    <row r="3183" spans="3:3" s="181" customFormat="1" hidden="1" x14ac:dyDescent="0.2">
      <c r="C3183" s="180"/>
    </row>
    <row r="3184" spans="3:3" s="181" customFormat="1" hidden="1" x14ac:dyDescent="0.2">
      <c r="C3184" s="180"/>
    </row>
    <row r="3185" spans="3:3" s="181" customFormat="1" hidden="1" x14ac:dyDescent="0.2">
      <c r="C3185" s="180"/>
    </row>
    <row r="3186" spans="3:3" s="181" customFormat="1" hidden="1" x14ac:dyDescent="0.2">
      <c r="C3186" s="180"/>
    </row>
    <row r="3187" spans="3:3" s="181" customFormat="1" hidden="1" x14ac:dyDescent="0.2">
      <c r="C3187" s="180"/>
    </row>
    <row r="3188" spans="3:3" s="181" customFormat="1" hidden="1" x14ac:dyDescent="0.2">
      <c r="C3188" s="180"/>
    </row>
    <row r="3189" spans="3:3" s="181" customFormat="1" hidden="1" x14ac:dyDescent="0.2">
      <c r="C3189" s="180"/>
    </row>
    <row r="3190" spans="3:3" s="181" customFormat="1" hidden="1" x14ac:dyDescent="0.2">
      <c r="C3190" s="180"/>
    </row>
    <row r="3191" spans="3:3" s="181" customFormat="1" hidden="1" x14ac:dyDescent="0.2">
      <c r="C3191" s="180"/>
    </row>
    <row r="3192" spans="3:3" s="181" customFormat="1" hidden="1" x14ac:dyDescent="0.2">
      <c r="C3192" s="180"/>
    </row>
    <row r="3193" spans="3:3" s="181" customFormat="1" hidden="1" x14ac:dyDescent="0.2">
      <c r="C3193" s="180"/>
    </row>
    <row r="3194" spans="3:3" s="181" customFormat="1" hidden="1" x14ac:dyDescent="0.2">
      <c r="C3194" s="180"/>
    </row>
    <row r="3195" spans="3:3" s="181" customFormat="1" hidden="1" x14ac:dyDescent="0.2">
      <c r="C3195" s="180"/>
    </row>
    <row r="3196" spans="3:3" s="181" customFormat="1" hidden="1" x14ac:dyDescent="0.2">
      <c r="C3196" s="180"/>
    </row>
    <row r="3197" spans="3:3" s="181" customFormat="1" hidden="1" x14ac:dyDescent="0.2">
      <c r="C3197" s="180"/>
    </row>
    <row r="3198" spans="3:3" s="181" customFormat="1" hidden="1" x14ac:dyDescent="0.2">
      <c r="C3198" s="180"/>
    </row>
    <row r="3199" spans="3:3" s="181" customFormat="1" hidden="1" x14ac:dyDescent="0.2">
      <c r="C3199" s="180"/>
    </row>
    <row r="3200" spans="3:3" s="181" customFormat="1" hidden="1" x14ac:dyDescent="0.2">
      <c r="C3200" s="180"/>
    </row>
    <row r="3201" spans="3:3" s="181" customFormat="1" hidden="1" x14ac:dyDescent="0.2">
      <c r="C3201" s="180"/>
    </row>
    <row r="3202" spans="3:3" s="181" customFormat="1" hidden="1" x14ac:dyDescent="0.2">
      <c r="C3202" s="180"/>
    </row>
    <row r="3203" spans="3:3" s="181" customFormat="1" hidden="1" x14ac:dyDescent="0.2">
      <c r="C3203" s="180"/>
    </row>
    <row r="3204" spans="3:3" s="181" customFormat="1" hidden="1" x14ac:dyDescent="0.2">
      <c r="C3204" s="180"/>
    </row>
    <row r="3205" spans="3:3" s="181" customFormat="1" hidden="1" x14ac:dyDescent="0.2">
      <c r="C3205" s="180"/>
    </row>
    <row r="3206" spans="3:3" s="181" customFormat="1" hidden="1" x14ac:dyDescent="0.2">
      <c r="C3206" s="180"/>
    </row>
    <row r="3207" spans="3:3" s="181" customFormat="1" hidden="1" x14ac:dyDescent="0.2">
      <c r="C3207" s="180"/>
    </row>
    <row r="3208" spans="3:3" s="181" customFormat="1" hidden="1" x14ac:dyDescent="0.2">
      <c r="C3208" s="180"/>
    </row>
    <row r="3209" spans="3:3" s="181" customFormat="1" hidden="1" x14ac:dyDescent="0.2">
      <c r="C3209" s="180"/>
    </row>
    <row r="3210" spans="3:3" s="181" customFormat="1" hidden="1" x14ac:dyDescent="0.2">
      <c r="C3210" s="180"/>
    </row>
    <row r="3211" spans="3:3" s="181" customFormat="1" hidden="1" x14ac:dyDescent="0.2">
      <c r="C3211" s="180"/>
    </row>
    <row r="3212" spans="3:3" s="181" customFormat="1" hidden="1" x14ac:dyDescent="0.2">
      <c r="C3212" s="180"/>
    </row>
    <row r="3213" spans="3:3" s="181" customFormat="1" hidden="1" x14ac:dyDescent="0.2">
      <c r="C3213" s="180"/>
    </row>
    <row r="3214" spans="3:3" s="181" customFormat="1" hidden="1" x14ac:dyDescent="0.2">
      <c r="C3214" s="180"/>
    </row>
    <row r="3215" spans="3:3" s="181" customFormat="1" hidden="1" x14ac:dyDescent="0.2">
      <c r="C3215" s="180"/>
    </row>
    <row r="3216" spans="3:3" s="181" customFormat="1" hidden="1" x14ac:dyDescent="0.2">
      <c r="C3216" s="180"/>
    </row>
    <row r="3217" spans="3:3" s="181" customFormat="1" hidden="1" x14ac:dyDescent="0.2">
      <c r="C3217" s="180"/>
    </row>
    <row r="3218" spans="3:3" s="181" customFormat="1" hidden="1" x14ac:dyDescent="0.2">
      <c r="C3218" s="180"/>
    </row>
    <row r="3219" spans="3:3" s="181" customFormat="1" hidden="1" x14ac:dyDescent="0.2">
      <c r="C3219" s="180"/>
    </row>
    <row r="3220" spans="3:3" s="181" customFormat="1" hidden="1" x14ac:dyDescent="0.2">
      <c r="C3220" s="180"/>
    </row>
    <row r="3221" spans="3:3" s="181" customFormat="1" hidden="1" x14ac:dyDescent="0.2">
      <c r="C3221" s="180"/>
    </row>
    <row r="3222" spans="3:3" s="181" customFormat="1" hidden="1" x14ac:dyDescent="0.2">
      <c r="C3222" s="180"/>
    </row>
    <row r="3223" spans="3:3" s="181" customFormat="1" hidden="1" x14ac:dyDescent="0.2">
      <c r="C3223" s="180"/>
    </row>
    <row r="3224" spans="3:3" s="181" customFormat="1" hidden="1" x14ac:dyDescent="0.2">
      <c r="C3224" s="180"/>
    </row>
    <row r="3225" spans="3:3" s="181" customFormat="1" hidden="1" x14ac:dyDescent="0.2">
      <c r="C3225" s="180"/>
    </row>
    <row r="3226" spans="3:3" s="181" customFormat="1" hidden="1" x14ac:dyDescent="0.2">
      <c r="C3226" s="180"/>
    </row>
    <row r="3227" spans="3:3" s="181" customFormat="1" hidden="1" x14ac:dyDescent="0.2">
      <c r="C3227" s="180"/>
    </row>
    <row r="3228" spans="3:3" s="181" customFormat="1" hidden="1" x14ac:dyDescent="0.2">
      <c r="C3228" s="180"/>
    </row>
    <row r="3229" spans="3:3" s="181" customFormat="1" hidden="1" x14ac:dyDescent="0.2">
      <c r="C3229" s="180"/>
    </row>
    <row r="3230" spans="3:3" s="181" customFormat="1" hidden="1" x14ac:dyDescent="0.2">
      <c r="C3230" s="180"/>
    </row>
    <row r="3231" spans="3:3" s="181" customFormat="1" hidden="1" x14ac:dyDescent="0.2">
      <c r="C3231" s="180"/>
    </row>
    <row r="3232" spans="3:3" s="181" customFormat="1" hidden="1" x14ac:dyDescent="0.2">
      <c r="C3232" s="180"/>
    </row>
    <row r="3233" spans="3:3" s="181" customFormat="1" hidden="1" x14ac:dyDescent="0.2">
      <c r="C3233" s="180"/>
    </row>
    <row r="3234" spans="3:3" s="181" customFormat="1" hidden="1" x14ac:dyDescent="0.2">
      <c r="C3234" s="180"/>
    </row>
    <row r="3235" spans="3:3" s="181" customFormat="1" hidden="1" x14ac:dyDescent="0.2">
      <c r="C3235" s="180"/>
    </row>
    <row r="3236" spans="3:3" s="181" customFormat="1" hidden="1" x14ac:dyDescent="0.2">
      <c r="C3236" s="180"/>
    </row>
    <row r="3237" spans="3:3" s="181" customFormat="1" hidden="1" x14ac:dyDescent="0.2">
      <c r="C3237" s="180"/>
    </row>
    <row r="3238" spans="3:3" s="181" customFormat="1" hidden="1" x14ac:dyDescent="0.2">
      <c r="C3238" s="180"/>
    </row>
    <row r="3239" spans="3:3" s="181" customFormat="1" hidden="1" x14ac:dyDescent="0.2">
      <c r="C3239" s="180"/>
    </row>
    <row r="3240" spans="3:3" s="181" customFormat="1" hidden="1" x14ac:dyDescent="0.2">
      <c r="C3240" s="180"/>
    </row>
    <row r="3241" spans="3:3" s="181" customFormat="1" hidden="1" x14ac:dyDescent="0.2">
      <c r="C3241" s="180"/>
    </row>
    <row r="3242" spans="3:3" s="181" customFormat="1" hidden="1" x14ac:dyDescent="0.2">
      <c r="C3242" s="180"/>
    </row>
    <row r="3243" spans="3:3" s="181" customFormat="1" hidden="1" x14ac:dyDescent="0.2">
      <c r="C3243" s="180"/>
    </row>
    <row r="3244" spans="3:3" s="181" customFormat="1" hidden="1" x14ac:dyDescent="0.2">
      <c r="C3244" s="180"/>
    </row>
    <row r="3245" spans="3:3" s="181" customFormat="1" hidden="1" x14ac:dyDescent="0.2">
      <c r="C3245" s="180"/>
    </row>
    <row r="3246" spans="3:3" s="181" customFormat="1" hidden="1" x14ac:dyDescent="0.2">
      <c r="C3246" s="180"/>
    </row>
    <row r="3247" spans="3:3" s="181" customFormat="1" hidden="1" x14ac:dyDescent="0.2">
      <c r="C3247" s="180"/>
    </row>
    <row r="3248" spans="3:3" s="181" customFormat="1" hidden="1" x14ac:dyDescent="0.2">
      <c r="C3248" s="180"/>
    </row>
    <row r="3249" spans="3:3" s="181" customFormat="1" hidden="1" x14ac:dyDescent="0.2">
      <c r="C3249" s="180"/>
    </row>
    <row r="3250" spans="3:3" s="181" customFormat="1" hidden="1" x14ac:dyDescent="0.2">
      <c r="C3250" s="180"/>
    </row>
    <row r="3251" spans="3:3" s="181" customFormat="1" hidden="1" x14ac:dyDescent="0.2">
      <c r="C3251" s="180"/>
    </row>
    <row r="3252" spans="3:3" s="181" customFormat="1" hidden="1" x14ac:dyDescent="0.2">
      <c r="C3252" s="180"/>
    </row>
    <row r="3253" spans="3:3" s="181" customFormat="1" hidden="1" x14ac:dyDescent="0.2">
      <c r="C3253" s="180"/>
    </row>
    <row r="3254" spans="3:3" s="181" customFormat="1" hidden="1" x14ac:dyDescent="0.2">
      <c r="C3254" s="180"/>
    </row>
    <row r="3255" spans="3:3" s="181" customFormat="1" hidden="1" x14ac:dyDescent="0.2">
      <c r="C3255" s="180"/>
    </row>
    <row r="3256" spans="3:3" s="181" customFormat="1" hidden="1" x14ac:dyDescent="0.2">
      <c r="C3256" s="180"/>
    </row>
    <row r="3257" spans="3:3" s="181" customFormat="1" hidden="1" x14ac:dyDescent="0.2">
      <c r="C3257" s="180"/>
    </row>
    <row r="3258" spans="3:3" s="181" customFormat="1" hidden="1" x14ac:dyDescent="0.2">
      <c r="C3258" s="180"/>
    </row>
    <row r="3259" spans="3:3" s="181" customFormat="1" hidden="1" x14ac:dyDescent="0.2">
      <c r="C3259" s="180"/>
    </row>
    <row r="3260" spans="3:3" s="181" customFormat="1" hidden="1" x14ac:dyDescent="0.2">
      <c r="C3260" s="180"/>
    </row>
    <row r="3261" spans="3:3" s="181" customFormat="1" hidden="1" x14ac:dyDescent="0.2">
      <c r="C3261" s="180"/>
    </row>
    <row r="3262" spans="3:3" s="181" customFormat="1" hidden="1" x14ac:dyDescent="0.2">
      <c r="C3262" s="180"/>
    </row>
    <row r="3263" spans="3:3" s="181" customFormat="1" hidden="1" x14ac:dyDescent="0.2">
      <c r="C3263" s="180"/>
    </row>
    <row r="3264" spans="3:3" s="181" customFormat="1" hidden="1" x14ac:dyDescent="0.2">
      <c r="C3264" s="180"/>
    </row>
    <row r="3265" spans="3:3" s="181" customFormat="1" hidden="1" x14ac:dyDescent="0.2">
      <c r="C3265" s="180"/>
    </row>
    <row r="3266" spans="3:3" s="181" customFormat="1" hidden="1" x14ac:dyDescent="0.2">
      <c r="C3266" s="180"/>
    </row>
    <row r="3267" spans="3:3" s="181" customFormat="1" hidden="1" x14ac:dyDescent="0.2">
      <c r="C3267" s="180"/>
    </row>
    <row r="3268" spans="3:3" s="181" customFormat="1" hidden="1" x14ac:dyDescent="0.2">
      <c r="C3268" s="180"/>
    </row>
    <row r="3269" spans="3:3" s="181" customFormat="1" hidden="1" x14ac:dyDescent="0.2">
      <c r="C3269" s="180"/>
    </row>
    <row r="3270" spans="3:3" s="181" customFormat="1" hidden="1" x14ac:dyDescent="0.2">
      <c r="C3270" s="180"/>
    </row>
    <row r="3271" spans="3:3" s="181" customFormat="1" hidden="1" x14ac:dyDescent="0.2">
      <c r="C3271" s="180"/>
    </row>
    <row r="3272" spans="3:3" s="181" customFormat="1" hidden="1" x14ac:dyDescent="0.2">
      <c r="C3272" s="180"/>
    </row>
    <row r="3273" spans="3:3" s="181" customFormat="1" hidden="1" x14ac:dyDescent="0.2">
      <c r="C3273" s="180"/>
    </row>
    <row r="3274" spans="3:3" s="181" customFormat="1" hidden="1" x14ac:dyDescent="0.2">
      <c r="C3274" s="180"/>
    </row>
    <row r="3275" spans="3:3" s="181" customFormat="1" hidden="1" x14ac:dyDescent="0.2">
      <c r="C3275" s="180"/>
    </row>
    <row r="3276" spans="3:3" s="181" customFormat="1" hidden="1" x14ac:dyDescent="0.2">
      <c r="C3276" s="180"/>
    </row>
    <row r="3277" spans="3:3" s="181" customFormat="1" hidden="1" x14ac:dyDescent="0.2">
      <c r="C3277" s="180"/>
    </row>
    <row r="3278" spans="3:3" s="181" customFormat="1" hidden="1" x14ac:dyDescent="0.2">
      <c r="C3278" s="180"/>
    </row>
    <row r="3279" spans="3:3" s="181" customFormat="1" hidden="1" x14ac:dyDescent="0.2">
      <c r="C3279" s="180"/>
    </row>
    <row r="3280" spans="3:3" s="181" customFormat="1" hidden="1" x14ac:dyDescent="0.2">
      <c r="C3280" s="180"/>
    </row>
    <row r="3281" spans="3:3" s="181" customFormat="1" hidden="1" x14ac:dyDescent="0.2">
      <c r="C3281" s="180"/>
    </row>
    <row r="3282" spans="3:3" s="181" customFormat="1" hidden="1" x14ac:dyDescent="0.2">
      <c r="C3282" s="180"/>
    </row>
    <row r="3283" spans="3:3" s="181" customFormat="1" hidden="1" x14ac:dyDescent="0.2">
      <c r="C3283" s="180"/>
    </row>
    <row r="3284" spans="3:3" s="181" customFormat="1" hidden="1" x14ac:dyDescent="0.2">
      <c r="C3284" s="180"/>
    </row>
    <row r="3285" spans="3:3" s="181" customFormat="1" hidden="1" x14ac:dyDescent="0.2">
      <c r="C3285" s="180"/>
    </row>
    <row r="3286" spans="3:3" s="181" customFormat="1" hidden="1" x14ac:dyDescent="0.2">
      <c r="C3286" s="180"/>
    </row>
    <row r="3287" spans="3:3" s="181" customFormat="1" hidden="1" x14ac:dyDescent="0.2">
      <c r="C3287" s="180"/>
    </row>
    <row r="3288" spans="3:3" s="181" customFormat="1" hidden="1" x14ac:dyDescent="0.2">
      <c r="C3288" s="180"/>
    </row>
    <row r="3289" spans="3:3" s="181" customFormat="1" hidden="1" x14ac:dyDescent="0.2">
      <c r="C3289" s="180"/>
    </row>
    <row r="3290" spans="3:3" s="181" customFormat="1" hidden="1" x14ac:dyDescent="0.2">
      <c r="C3290" s="180"/>
    </row>
    <row r="3291" spans="3:3" s="181" customFormat="1" hidden="1" x14ac:dyDescent="0.2">
      <c r="C3291" s="180"/>
    </row>
    <row r="3292" spans="3:3" s="181" customFormat="1" hidden="1" x14ac:dyDescent="0.2">
      <c r="C3292" s="180"/>
    </row>
    <row r="3293" spans="3:3" s="181" customFormat="1" hidden="1" x14ac:dyDescent="0.2">
      <c r="C3293" s="180"/>
    </row>
    <row r="3294" spans="3:3" s="181" customFormat="1" hidden="1" x14ac:dyDescent="0.2">
      <c r="C3294" s="180"/>
    </row>
    <row r="3295" spans="3:3" s="181" customFormat="1" hidden="1" x14ac:dyDescent="0.2">
      <c r="C3295" s="180"/>
    </row>
    <row r="3296" spans="3:3" s="181" customFormat="1" hidden="1" x14ac:dyDescent="0.2">
      <c r="C3296" s="180"/>
    </row>
    <row r="3297" spans="3:3" s="181" customFormat="1" hidden="1" x14ac:dyDescent="0.2">
      <c r="C3297" s="180"/>
    </row>
    <row r="3298" spans="3:3" s="181" customFormat="1" hidden="1" x14ac:dyDescent="0.2">
      <c r="C3298" s="180"/>
    </row>
    <row r="3299" spans="3:3" s="181" customFormat="1" hidden="1" x14ac:dyDescent="0.2">
      <c r="C3299" s="180"/>
    </row>
    <row r="3300" spans="3:3" s="181" customFormat="1" hidden="1" x14ac:dyDescent="0.2">
      <c r="C3300" s="180"/>
    </row>
    <row r="3301" spans="3:3" s="181" customFormat="1" hidden="1" x14ac:dyDescent="0.2">
      <c r="C3301" s="180"/>
    </row>
    <row r="3302" spans="3:3" s="181" customFormat="1" hidden="1" x14ac:dyDescent="0.2">
      <c r="C3302" s="180"/>
    </row>
    <row r="3303" spans="3:3" s="181" customFormat="1" hidden="1" x14ac:dyDescent="0.2">
      <c r="C3303" s="180"/>
    </row>
    <row r="3304" spans="3:3" s="181" customFormat="1" hidden="1" x14ac:dyDescent="0.2">
      <c r="C3304" s="180"/>
    </row>
    <row r="3305" spans="3:3" s="181" customFormat="1" hidden="1" x14ac:dyDescent="0.2">
      <c r="C3305" s="180"/>
    </row>
    <row r="3306" spans="3:3" s="181" customFormat="1" hidden="1" x14ac:dyDescent="0.2">
      <c r="C3306" s="180"/>
    </row>
    <row r="3307" spans="3:3" s="181" customFormat="1" hidden="1" x14ac:dyDescent="0.2">
      <c r="C3307" s="180"/>
    </row>
    <row r="3308" spans="3:3" s="181" customFormat="1" hidden="1" x14ac:dyDescent="0.2">
      <c r="C3308" s="180"/>
    </row>
    <row r="3309" spans="3:3" s="181" customFormat="1" hidden="1" x14ac:dyDescent="0.2">
      <c r="C3309" s="180"/>
    </row>
    <row r="3310" spans="3:3" s="181" customFormat="1" hidden="1" x14ac:dyDescent="0.2">
      <c r="C3310" s="180"/>
    </row>
    <row r="3311" spans="3:3" s="181" customFormat="1" hidden="1" x14ac:dyDescent="0.2">
      <c r="C3311" s="180"/>
    </row>
    <row r="3312" spans="3:3" s="181" customFormat="1" hidden="1" x14ac:dyDescent="0.2">
      <c r="C3312" s="180"/>
    </row>
    <row r="3313" spans="3:3" s="181" customFormat="1" hidden="1" x14ac:dyDescent="0.2">
      <c r="C3313" s="180"/>
    </row>
    <row r="3314" spans="3:3" s="181" customFormat="1" hidden="1" x14ac:dyDescent="0.2">
      <c r="C3314" s="180"/>
    </row>
    <row r="3315" spans="3:3" s="181" customFormat="1" hidden="1" x14ac:dyDescent="0.2">
      <c r="C3315" s="180"/>
    </row>
    <row r="3316" spans="3:3" s="181" customFormat="1" hidden="1" x14ac:dyDescent="0.2">
      <c r="C3316" s="180"/>
    </row>
    <row r="3317" spans="3:3" s="181" customFormat="1" hidden="1" x14ac:dyDescent="0.2">
      <c r="C3317" s="180"/>
    </row>
    <row r="3318" spans="3:3" s="181" customFormat="1" hidden="1" x14ac:dyDescent="0.2">
      <c r="C3318" s="180"/>
    </row>
    <row r="3319" spans="3:3" s="181" customFormat="1" hidden="1" x14ac:dyDescent="0.2">
      <c r="C3319" s="180"/>
    </row>
    <row r="3320" spans="3:3" s="181" customFormat="1" hidden="1" x14ac:dyDescent="0.2">
      <c r="C3320" s="180"/>
    </row>
    <row r="3321" spans="3:3" s="181" customFormat="1" hidden="1" x14ac:dyDescent="0.2">
      <c r="C3321" s="180"/>
    </row>
    <row r="3322" spans="3:3" s="181" customFormat="1" hidden="1" x14ac:dyDescent="0.2">
      <c r="C3322" s="180"/>
    </row>
    <row r="3323" spans="3:3" s="181" customFormat="1" hidden="1" x14ac:dyDescent="0.2">
      <c r="C3323" s="180"/>
    </row>
    <row r="3324" spans="3:3" s="181" customFormat="1" hidden="1" x14ac:dyDescent="0.2">
      <c r="C3324" s="180"/>
    </row>
    <row r="3325" spans="3:3" s="181" customFormat="1" hidden="1" x14ac:dyDescent="0.2">
      <c r="C3325" s="180"/>
    </row>
    <row r="3326" spans="3:3" s="181" customFormat="1" hidden="1" x14ac:dyDescent="0.2">
      <c r="C3326" s="180"/>
    </row>
    <row r="3327" spans="3:3" s="181" customFormat="1" hidden="1" x14ac:dyDescent="0.2">
      <c r="C3327" s="180"/>
    </row>
    <row r="3328" spans="3:3" s="181" customFormat="1" hidden="1" x14ac:dyDescent="0.2">
      <c r="C3328" s="180"/>
    </row>
    <row r="3329" spans="3:3" s="181" customFormat="1" hidden="1" x14ac:dyDescent="0.2">
      <c r="C3329" s="180"/>
    </row>
    <row r="3330" spans="3:3" s="181" customFormat="1" hidden="1" x14ac:dyDescent="0.2">
      <c r="C3330" s="180"/>
    </row>
    <row r="3331" spans="3:3" s="181" customFormat="1" hidden="1" x14ac:dyDescent="0.2">
      <c r="C3331" s="180"/>
    </row>
    <row r="3332" spans="3:3" s="181" customFormat="1" hidden="1" x14ac:dyDescent="0.2">
      <c r="C3332" s="180"/>
    </row>
    <row r="3333" spans="3:3" s="181" customFormat="1" hidden="1" x14ac:dyDescent="0.2">
      <c r="C3333" s="180"/>
    </row>
    <row r="3334" spans="3:3" s="181" customFormat="1" hidden="1" x14ac:dyDescent="0.2">
      <c r="C3334" s="180"/>
    </row>
    <row r="3335" spans="3:3" s="181" customFormat="1" hidden="1" x14ac:dyDescent="0.2">
      <c r="C3335" s="180"/>
    </row>
    <row r="3336" spans="3:3" s="181" customFormat="1" hidden="1" x14ac:dyDescent="0.2">
      <c r="C3336" s="180"/>
    </row>
    <row r="3337" spans="3:3" s="181" customFormat="1" hidden="1" x14ac:dyDescent="0.2">
      <c r="C3337" s="180"/>
    </row>
    <row r="3338" spans="3:3" s="181" customFormat="1" hidden="1" x14ac:dyDescent="0.2">
      <c r="C3338" s="180"/>
    </row>
    <row r="3339" spans="3:3" s="181" customFormat="1" hidden="1" x14ac:dyDescent="0.2">
      <c r="C3339" s="180"/>
    </row>
    <row r="3340" spans="3:3" s="181" customFormat="1" hidden="1" x14ac:dyDescent="0.2">
      <c r="C3340" s="180"/>
    </row>
    <row r="3341" spans="3:3" s="181" customFormat="1" hidden="1" x14ac:dyDescent="0.2">
      <c r="C3341" s="180"/>
    </row>
    <row r="3342" spans="3:3" s="181" customFormat="1" hidden="1" x14ac:dyDescent="0.2">
      <c r="C3342" s="180"/>
    </row>
    <row r="3343" spans="3:3" s="181" customFormat="1" hidden="1" x14ac:dyDescent="0.2">
      <c r="C3343" s="180"/>
    </row>
    <row r="3344" spans="3:3" s="181" customFormat="1" hidden="1" x14ac:dyDescent="0.2">
      <c r="C3344" s="180"/>
    </row>
    <row r="3345" spans="3:3" s="181" customFormat="1" hidden="1" x14ac:dyDescent="0.2">
      <c r="C3345" s="180"/>
    </row>
    <row r="3346" spans="3:3" s="181" customFormat="1" hidden="1" x14ac:dyDescent="0.2">
      <c r="C3346" s="180"/>
    </row>
    <row r="3347" spans="3:3" s="181" customFormat="1" hidden="1" x14ac:dyDescent="0.2">
      <c r="C3347" s="180"/>
    </row>
    <row r="3348" spans="3:3" s="181" customFormat="1" hidden="1" x14ac:dyDescent="0.2">
      <c r="C3348" s="180"/>
    </row>
    <row r="3349" spans="3:3" s="181" customFormat="1" hidden="1" x14ac:dyDescent="0.2">
      <c r="C3349" s="180"/>
    </row>
    <row r="3350" spans="3:3" s="181" customFormat="1" hidden="1" x14ac:dyDescent="0.2">
      <c r="C3350" s="180"/>
    </row>
    <row r="3351" spans="3:3" s="181" customFormat="1" hidden="1" x14ac:dyDescent="0.2">
      <c r="C3351" s="180"/>
    </row>
    <row r="3352" spans="3:3" s="181" customFormat="1" hidden="1" x14ac:dyDescent="0.2">
      <c r="C3352" s="180"/>
    </row>
    <row r="3353" spans="3:3" s="181" customFormat="1" hidden="1" x14ac:dyDescent="0.2">
      <c r="C3353" s="180"/>
    </row>
    <row r="3354" spans="3:3" s="181" customFormat="1" hidden="1" x14ac:dyDescent="0.2">
      <c r="C3354" s="180"/>
    </row>
    <row r="3355" spans="3:3" s="181" customFormat="1" hidden="1" x14ac:dyDescent="0.2">
      <c r="C3355" s="180"/>
    </row>
    <row r="3356" spans="3:3" s="181" customFormat="1" hidden="1" x14ac:dyDescent="0.2">
      <c r="C3356" s="180"/>
    </row>
    <row r="3357" spans="3:3" s="181" customFormat="1" hidden="1" x14ac:dyDescent="0.2">
      <c r="C3357" s="180"/>
    </row>
    <row r="3358" spans="3:3" s="181" customFormat="1" hidden="1" x14ac:dyDescent="0.2">
      <c r="C3358" s="180"/>
    </row>
    <row r="3359" spans="3:3" s="181" customFormat="1" hidden="1" x14ac:dyDescent="0.2">
      <c r="C3359" s="180"/>
    </row>
    <row r="3360" spans="3:3" s="181" customFormat="1" hidden="1" x14ac:dyDescent="0.2">
      <c r="C3360" s="180"/>
    </row>
    <row r="3361" spans="3:3" s="181" customFormat="1" hidden="1" x14ac:dyDescent="0.2">
      <c r="C3361" s="180"/>
    </row>
    <row r="3362" spans="3:3" s="181" customFormat="1" hidden="1" x14ac:dyDescent="0.2">
      <c r="C3362" s="180"/>
    </row>
    <row r="3363" spans="3:3" s="181" customFormat="1" hidden="1" x14ac:dyDescent="0.2">
      <c r="C3363" s="180"/>
    </row>
    <row r="3364" spans="3:3" s="181" customFormat="1" hidden="1" x14ac:dyDescent="0.2">
      <c r="C3364" s="180"/>
    </row>
    <row r="3365" spans="3:3" s="181" customFormat="1" hidden="1" x14ac:dyDescent="0.2">
      <c r="C3365" s="180"/>
    </row>
    <row r="3366" spans="3:3" s="181" customFormat="1" hidden="1" x14ac:dyDescent="0.2">
      <c r="C3366" s="180"/>
    </row>
    <row r="3367" spans="3:3" s="181" customFormat="1" hidden="1" x14ac:dyDescent="0.2">
      <c r="C3367" s="180"/>
    </row>
    <row r="3368" spans="3:3" s="181" customFormat="1" hidden="1" x14ac:dyDescent="0.2">
      <c r="C3368" s="180"/>
    </row>
    <row r="3369" spans="3:3" s="181" customFormat="1" hidden="1" x14ac:dyDescent="0.2">
      <c r="C3369" s="180"/>
    </row>
    <row r="3370" spans="3:3" s="181" customFormat="1" hidden="1" x14ac:dyDescent="0.2">
      <c r="C3370" s="180"/>
    </row>
    <row r="3371" spans="3:3" s="181" customFormat="1" hidden="1" x14ac:dyDescent="0.2">
      <c r="C3371" s="180"/>
    </row>
    <row r="3372" spans="3:3" s="181" customFormat="1" hidden="1" x14ac:dyDescent="0.2">
      <c r="C3372" s="180"/>
    </row>
    <row r="3373" spans="3:3" s="181" customFormat="1" hidden="1" x14ac:dyDescent="0.2">
      <c r="C3373" s="180"/>
    </row>
    <row r="3374" spans="3:3" s="181" customFormat="1" hidden="1" x14ac:dyDescent="0.2">
      <c r="C3374" s="180"/>
    </row>
    <row r="3375" spans="3:3" s="181" customFormat="1" hidden="1" x14ac:dyDescent="0.2">
      <c r="C3375" s="180"/>
    </row>
    <row r="3376" spans="3:3" s="181" customFormat="1" hidden="1" x14ac:dyDescent="0.2">
      <c r="C3376" s="180"/>
    </row>
    <row r="3377" spans="3:3" s="181" customFormat="1" hidden="1" x14ac:dyDescent="0.2">
      <c r="C3377" s="180"/>
    </row>
    <row r="3378" spans="3:3" s="181" customFormat="1" hidden="1" x14ac:dyDescent="0.2">
      <c r="C3378" s="180"/>
    </row>
    <row r="3379" spans="3:3" s="181" customFormat="1" hidden="1" x14ac:dyDescent="0.2">
      <c r="C3379" s="180"/>
    </row>
    <row r="3380" spans="3:3" s="181" customFormat="1" hidden="1" x14ac:dyDescent="0.2">
      <c r="C3380" s="180"/>
    </row>
    <row r="3381" spans="3:3" s="181" customFormat="1" hidden="1" x14ac:dyDescent="0.2">
      <c r="C3381" s="180"/>
    </row>
    <row r="3382" spans="3:3" s="181" customFormat="1" hidden="1" x14ac:dyDescent="0.2">
      <c r="C3382" s="180"/>
    </row>
    <row r="3383" spans="3:3" s="181" customFormat="1" hidden="1" x14ac:dyDescent="0.2">
      <c r="C3383" s="180"/>
    </row>
    <row r="3384" spans="3:3" s="181" customFormat="1" hidden="1" x14ac:dyDescent="0.2">
      <c r="C3384" s="180"/>
    </row>
    <row r="3385" spans="3:3" s="181" customFormat="1" hidden="1" x14ac:dyDescent="0.2">
      <c r="C3385" s="180"/>
    </row>
    <row r="3386" spans="3:3" s="181" customFormat="1" hidden="1" x14ac:dyDescent="0.2">
      <c r="C3386" s="180"/>
    </row>
    <row r="3387" spans="3:3" s="181" customFormat="1" hidden="1" x14ac:dyDescent="0.2">
      <c r="C3387" s="180"/>
    </row>
    <row r="3388" spans="3:3" s="181" customFormat="1" hidden="1" x14ac:dyDescent="0.2">
      <c r="C3388" s="180"/>
    </row>
    <row r="3389" spans="3:3" s="181" customFormat="1" hidden="1" x14ac:dyDescent="0.2">
      <c r="C3389" s="180"/>
    </row>
    <row r="3390" spans="3:3" s="181" customFormat="1" hidden="1" x14ac:dyDescent="0.2">
      <c r="C3390" s="180"/>
    </row>
    <row r="3391" spans="3:3" s="181" customFormat="1" hidden="1" x14ac:dyDescent="0.2">
      <c r="C3391" s="180"/>
    </row>
    <row r="3392" spans="3:3" s="181" customFormat="1" hidden="1" x14ac:dyDescent="0.2">
      <c r="C3392" s="180"/>
    </row>
    <row r="3393" spans="3:3" s="181" customFormat="1" hidden="1" x14ac:dyDescent="0.2">
      <c r="C3393" s="180"/>
    </row>
    <row r="3394" spans="3:3" s="181" customFormat="1" hidden="1" x14ac:dyDescent="0.2">
      <c r="C3394" s="180"/>
    </row>
    <row r="3395" spans="3:3" s="181" customFormat="1" hidden="1" x14ac:dyDescent="0.2">
      <c r="C3395" s="180"/>
    </row>
    <row r="3396" spans="3:3" s="181" customFormat="1" hidden="1" x14ac:dyDescent="0.2">
      <c r="C3396" s="180"/>
    </row>
    <row r="3397" spans="3:3" s="181" customFormat="1" hidden="1" x14ac:dyDescent="0.2">
      <c r="C3397" s="180"/>
    </row>
    <row r="3398" spans="3:3" s="181" customFormat="1" hidden="1" x14ac:dyDescent="0.2">
      <c r="C3398" s="180"/>
    </row>
    <row r="3399" spans="3:3" s="181" customFormat="1" hidden="1" x14ac:dyDescent="0.2">
      <c r="C3399" s="180"/>
    </row>
    <row r="3400" spans="3:3" s="181" customFormat="1" hidden="1" x14ac:dyDescent="0.2">
      <c r="C3400" s="180"/>
    </row>
    <row r="3401" spans="3:3" s="181" customFormat="1" hidden="1" x14ac:dyDescent="0.2">
      <c r="C3401" s="180"/>
    </row>
    <row r="3402" spans="3:3" s="181" customFormat="1" hidden="1" x14ac:dyDescent="0.2">
      <c r="C3402" s="180"/>
    </row>
    <row r="3403" spans="3:3" s="181" customFormat="1" hidden="1" x14ac:dyDescent="0.2">
      <c r="C3403" s="180"/>
    </row>
    <row r="3404" spans="3:3" s="181" customFormat="1" hidden="1" x14ac:dyDescent="0.2">
      <c r="C3404" s="180"/>
    </row>
    <row r="3405" spans="3:3" s="181" customFormat="1" hidden="1" x14ac:dyDescent="0.2">
      <c r="C3405" s="180"/>
    </row>
    <row r="3406" spans="3:3" s="181" customFormat="1" hidden="1" x14ac:dyDescent="0.2">
      <c r="C3406" s="180"/>
    </row>
    <row r="3407" spans="3:3" s="181" customFormat="1" hidden="1" x14ac:dyDescent="0.2">
      <c r="C3407" s="180"/>
    </row>
    <row r="3408" spans="3:3" s="181" customFormat="1" hidden="1" x14ac:dyDescent="0.2">
      <c r="C3408" s="180"/>
    </row>
    <row r="3409" spans="3:3" s="181" customFormat="1" hidden="1" x14ac:dyDescent="0.2">
      <c r="C3409" s="180"/>
    </row>
    <row r="3410" spans="3:3" s="181" customFormat="1" hidden="1" x14ac:dyDescent="0.2">
      <c r="C3410" s="180"/>
    </row>
    <row r="3411" spans="3:3" s="181" customFormat="1" hidden="1" x14ac:dyDescent="0.2">
      <c r="C3411" s="180"/>
    </row>
    <row r="3412" spans="3:3" s="181" customFormat="1" hidden="1" x14ac:dyDescent="0.2">
      <c r="C3412" s="180"/>
    </row>
    <row r="3413" spans="3:3" s="181" customFormat="1" hidden="1" x14ac:dyDescent="0.2">
      <c r="C3413" s="180"/>
    </row>
    <row r="3414" spans="3:3" s="181" customFormat="1" hidden="1" x14ac:dyDescent="0.2">
      <c r="C3414" s="180"/>
    </row>
    <row r="3415" spans="3:3" s="181" customFormat="1" hidden="1" x14ac:dyDescent="0.2">
      <c r="C3415" s="180"/>
    </row>
    <row r="3416" spans="3:3" s="181" customFormat="1" hidden="1" x14ac:dyDescent="0.2">
      <c r="C3416" s="180"/>
    </row>
    <row r="3417" spans="3:3" s="181" customFormat="1" hidden="1" x14ac:dyDescent="0.2">
      <c r="C3417" s="180"/>
    </row>
    <row r="3418" spans="3:3" s="181" customFormat="1" hidden="1" x14ac:dyDescent="0.2">
      <c r="C3418" s="180"/>
    </row>
    <row r="3419" spans="3:3" s="181" customFormat="1" hidden="1" x14ac:dyDescent="0.2">
      <c r="C3419" s="180"/>
    </row>
    <row r="3420" spans="3:3" s="181" customFormat="1" hidden="1" x14ac:dyDescent="0.2">
      <c r="C3420" s="180"/>
    </row>
    <row r="3421" spans="3:3" s="181" customFormat="1" hidden="1" x14ac:dyDescent="0.2">
      <c r="C3421" s="180"/>
    </row>
    <row r="3422" spans="3:3" s="181" customFormat="1" hidden="1" x14ac:dyDescent="0.2">
      <c r="C3422" s="180"/>
    </row>
    <row r="3423" spans="3:3" s="181" customFormat="1" hidden="1" x14ac:dyDescent="0.2">
      <c r="C3423" s="180"/>
    </row>
    <row r="3424" spans="3:3" s="181" customFormat="1" hidden="1" x14ac:dyDescent="0.2">
      <c r="C3424" s="180"/>
    </row>
    <row r="3425" spans="3:3" s="181" customFormat="1" hidden="1" x14ac:dyDescent="0.2">
      <c r="C3425" s="180"/>
    </row>
    <row r="3426" spans="3:3" s="181" customFormat="1" hidden="1" x14ac:dyDescent="0.2">
      <c r="C3426" s="180"/>
    </row>
    <row r="3427" spans="3:3" s="181" customFormat="1" hidden="1" x14ac:dyDescent="0.2">
      <c r="C3427" s="180"/>
    </row>
    <row r="3428" spans="3:3" s="181" customFormat="1" hidden="1" x14ac:dyDescent="0.2">
      <c r="C3428" s="180"/>
    </row>
    <row r="3429" spans="3:3" s="181" customFormat="1" hidden="1" x14ac:dyDescent="0.2">
      <c r="C3429" s="180"/>
    </row>
    <row r="3430" spans="3:3" s="181" customFormat="1" hidden="1" x14ac:dyDescent="0.2">
      <c r="C3430" s="180"/>
    </row>
    <row r="3431" spans="3:3" s="181" customFormat="1" hidden="1" x14ac:dyDescent="0.2">
      <c r="C3431" s="180"/>
    </row>
    <row r="3432" spans="3:3" s="181" customFormat="1" hidden="1" x14ac:dyDescent="0.2">
      <c r="C3432" s="180"/>
    </row>
    <row r="3433" spans="3:3" s="181" customFormat="1" hidden="1" x14ac:dyDescent="0.2">
      <c r="C3433" s="180"/>
    </row>
    <row r="3434" spans="3:3" s="181" customFormat="1" hidden="1" x14ac:dyDescent="0.2">
      <c r="C3434" s="180"/>
    </row>
    <row r="3435" spans="3:3" s="181" customFormat="1" hidden="1" x14ac:dyDescent="0.2">
      <c r="C3435" s="180"/>
    </row>
    <row r="3436" spans="3:3" s="181" customFormat="1" hidden="1" x14ac:dyDescent="0.2">
      <c r="C3436" s="180"/>
    </row>
    <row r="3437" spans="3:3" s="181" customFormat="1" hidden="1" x14ac:dyDescent="0.2">
      <c r="C3437" s="180"/>
    </row>
    <row r="3438" spans="3:3" s="181" customFormat="1" hidden="1" x14ac:dyDescent="0.2">
      <c r="C3438" s="180"/>
    </row>
    <row r="3439" spans="3:3" s="181" customFormat="1" hidden="1" x14ac:dyDescent="0.2">
      <c r="C3439" s="180"/>
    </row>
    <row r="3440" spans="3:3" s="181" customFormat="1" hidden="1" x14ac:dyDescent="0.2">
      <c r="C3440" s="180"/>
    </row>
    <row r="3441" spans="3:3" s="181" customFormat="1" hidden="1" x14ac:dyDescent="0.2">
      <c r="C3441" s="180"/>
    </row>
    <row r="3442" spans="3:3" s="181" customFormat="1" hidden="1" x14ac:dyDescent="0.2">
      <c r="C3442" s="180"/>
    </row>
    <row r="3443" spans="3:3" s="181" customFormat="1" hidden="1" x14ac:dyDescent="0.2">
      <c r="C3443" s="180"/>
    </row>
    <row r="3444" spans="3:3" s="181" customFormat="1" hidden="1" x14ac:dyDescent="0.2">
      <c r="C3444" s="180"/>
    </row>
    <row r="3445" spans="3:3" s="181" customFormat="1" hidden="1" x14ac:dyDescent="0.2">
      <c r="C3445" s="180"/>
    </row>
    <row r="3446" spans="3:3" s="181" customFormat="1" hidden="1" x14ac:dyDescent="0.2">
      <c r="C3446" s="180"/>
    </row>
    <row r="3447" spans="3:3" s="181" customFormat="1" hidden="1" x14ac:dyDescent="0.2">
      <c r="C3447" s="180"/>
    </row>
    <row r="3448" spans="3:3" s="181" customFormat="1" hidden="1" x14ac:dyDescent="0.2">
      <c r="C3448" s="180"/>
    </row>
    <row r="3449" spans="3:3" s="181" customFormat="1" hidden="1" x14ac:dyDescent="0.2">
      <c r="C3449" s="180"/>
    </row>
    <row r="3450" spans="3:3" s="181" customFormat="1" hidden="1" x14ac:dyDescent="0.2">
      <c r="C3450" s="180"/>
    </row>
    <row r="3451" spans="3:3" s="181" customFormat="1" hidden="1" x14ac:dyDescent="0.2">
      <c r="C3451" s="180"/>
    </row>
    <row r="3452" spans="3:3" s="181" customFormat="1" hidden="1" x14ac:dyDescent="0.2">
      <c r="C3452" s="180"/>
    </row>
    <row r="3453" spans="3:3" s="181" customFormat="1" hidden="1" x14ac:dyDescent="0.2">
      <c r="C3453" s="180"/>
    </row>
    <row r="3454" spans="3:3" s="181" customFormat="1" hidden="1" x14ac:dyDescent="0.2">
      <c r="C3454" s="180"/>
    </row>
    <row r="3455" spans="3:3" s="181" customFormat="1" hidden="1" x14ac:dyDescent="0.2">
      <c r="C3455" s="180"/>
    </row>
    <row r="3456" spans="3:3" s="181" customFormat="1" hidden="1" x14ac:dyDescent="0.2">
      <c r="C3456" s="180"/>
    </row>
    <row r="3457" spans="3:3" s="181" customFormat="1" hidden="1" x14ac:dyDescent="0.2">
      <c r="C3457" s="180"/>
    </row>
    <row r="3458" spans="3:3" s="181" customFormat="1" hidden="1" x14ac:dyDescent="0.2">
      <c r="C3458" s="180"/>
    </row>
    <row r="3459" spans="3:3" s="181" customFormat="1" hidden="1" x14ac:dyDescent="0.2">
      <c r="C3459" s="180"/>
    </row>
    <row r="3460" spans="3:3" s="181" customFormat="1" hidden="1" x14ac:dyDescent="0.2">
      <c r="C3460" s="180"/>
    </row>
    <row r="3461" spans="3:3" s="181" customFormat="1" hidden="1" x14ac:dyDescent="0.2">
      <c r="C3461" s="180"/>
    </row>
    <row r="3462" spans="3:3" s="181" customFormat="1" hidden="1" x14ac:dyDescent="0.2">
      <c r="C3462" s="180"/>
    </row>
    <row r="3463" spans="3:3" s="181" customFormat="1" hidden="1" x14ac:dyDescent="0.2">
      <c r="C3463" s="180"/>
    </row>
    <row r="3464" spans="3:3" s="181" customFormat="1" hidden="1" x14ac:dyDescent="0.2">
      <c r="C3464" s="180"/>
    </row>
    <row r="3465" spans="3:3" s="181" customFormat="1" hidden="1" x14ac:dyDescent="0.2">
      <c r="C3465" s="180"/>
    </row>
    <row r="3466" spans="3:3" s="181" customFormat="1" hidden="1" x14ac:dyDescent="0.2">
      <c r="C3466" s="180"/>
    </row>
    <row r="3467" spans="3:3" s="181" customFormat="1" hidden="1" x14ac:dyDescent="0.2">
      <c r="C3467" s="180"/>
    </row>
    <row r="3468" spans="3:3" s="181" customFormat="1" hidden="1" x14ac:dyDescent="0.2">
      <c r="C3468" s="180"/>
    </row>
    <row r="3469" spans="3:3" s="181" customFormat="1" hidden="1" x14ac:dyDescent="0.2">
      <c r="C3469" s="180"/>
    </row>
    <row r="3470" spans="3:3" s="181" customFormat="1" hidden="1" x14ac:dyDescent="0.2">
      <c r="C3470" s="180"/>
    </row>
    <row r="3471" spans="3:3" s="181" customFormat="1" hidden="1" x14ac:dyDescent="0.2">
      <c r="C3471" s="180"/>
    </row>
    <row r="3472" spans="3:3" s="181" customFormat="1" hidden="1" x14ac:dyDescent="0.2">
      <c r="C3472" s="180"/>
    </row>
    <row r="3473" spans="3:3" s="181" customFormat="1" hidden="1" x14ac:dyDescent="0.2">
      <c r="C3473" s="180"/>
    </row>
    <row r="3474" spans="3:3" s="181" customFormat="1" hidden="1" x14ac:dyDescent="0.2">
      <c r="C3474" s="180"/>
    </row>
    <row r="3475" spans="3:3" s="181" customFormat="1" hidden="1" x14ac:dyDescent="0.2">
      <c r="C3475" s="180"/>
    </row>
    <row r="3476" spans="3:3" s="181" customFormat="1" hidden="1" x14ac:dyDescent="0.2">
      <c r="C3476" s="180"/>
    </row>
    <row r="3477" spans="3:3" s="181" customFormat="1" hidden="1" x14ac:dyDescent="0.2">
      <c r="C3477" s="180"/>
    </row>
    <row r="3478" spans="3:3" s="181" customFormat="1" hidden="1" x14ac:dyDescent="0.2">
      <c r="C3478" s="180"/>
    </row>
    <row r="3479" spans="3:3" s="181" customFormat="1" hidden="1" x14ac:dyDescent="0.2">
      <c r="C3479" s="180"/>
    </row>
    <row r="3480" spans="3:3" s="181" customFormat="1" hidden="1" x14ac:dyDescent="0.2">
      <c r="C3480" s="180"/>
    </row>
    <row r="3481" spans="3:3" s="181" customFormat="1" hidden="1" x14ac:dyDescent="0.2">
      <c r="C3481" s="180"/>
    </row>
    <row r="3482" spans="3:3" s="181" customFormat="1" hidden="1" x14ac:dyDescent="0.2">
      <c r="C3482" s="180"/>
    </row>
    <row r="3483" spans="3:3" s="181" customFormat="1" hidden="1" x14ac:dyDescent="0.2">
      <c r="C3483" s="180"/>
    </row>
    <row r="3484" spans="3:3" s="181" customFormat="1" hidden="1" x14ac:dyDescent="0.2">
      <c r="C3484" s="180"/>
    </row>
    <row r="3485" spans="3:3" s="181" customFormat="1" hidden="1" x14ac:dyDescent="0.2">
      <c r="C3485" s="180"/>
    </row>
    <row r="3486" spans="3:3" s="181" customFormat="1" hidden="1" x14ac:dyDescent="0.2">
      <c r="C3486" s="180"/>
    </row>
    <row r="3487" spans="3:3" s="181" customFormat="1" hidden="1" x14ac:dyDescent="0.2">
      <c r="C3487" s="180"/>
    </row>
    <row r="3488" spans="3:3" s="181" customFormat="1" hidden="1" x14ac:dyDescent="0.2">
      <c r="C3488" s="180"/>
    </row>
    <row r="3489" spans="3:3" s="181" customFormat="1" hidden="1" x14ac:dyDescent="0.2">
      <c r="C3489" s="180"/>
    </row>
    <row r="3490" spans="3:3" s="181" customFormat="1" hidden="1" x14ac:dyDescent="0.2">
      <c r="C3490" s="180"/>
    </row>
    <row r="3491" spans="3:3" s="181" customFormat="1" hidden="1" x14ac:dyDescent="0.2">
      <c r="C3491" s="180"/>
    </row>
    <row r="3492" spans="3:3" s="181" customFormat="1" hidden="1" x14ac:dyDescent="0.2">
      <c r="C3492" s="180"/>
    </row>
    <row r="3493" spans="3:3" s="181" customFormat="1" hidden="1" x14ac:dyDescent="0.2">
      <c r="C3493" s="180"/>
    </row>
    <row r="3494" spans="3:3" s="181" customFormat="1" hidden="1" x14ac:dyDescent="0.2">
      <c r="C3494" s="180"/>
    </row>
    <row r="3495" spans="3:3" s="181" customFormat="1" hidden="1" x14ac:dyDescent="0.2">
      <c r="C3495" s="180"/>
    </row>
    <row r="3496" spans="3:3" s="181" customFormat="1" hidden="1" x14ac:dyDescent="0.2">
      <c r="C3496" s="180"/>
    </row>
    <row r="3497" spans="3:3" s="181" customFormat="1" hidden="1" x14ac:dyDescent="0.2">
      <c r="C3497" s="180"/>
    </row>
    <row r="3498" spans="3:3" s="181" customFormat="1" hidden="1" x14ac:dyDescent="0.2">
      <c r="C3498" s="180"/>
    </row>
    <row r="3499" spans="3:3" s="181" customFormat="1" hidden="1" x14ac:dyDescent="0.2">
      <c r="C3499" s="180"/>
    </row>
    <row r="3500" spans="3:3" s="181" customFormat="1" hidden="1" x14ac:dyDescent="0.2">
      <c r="C3500" s="180"/>
    </row>
    <row r="3501" spans="3:3" s="181" customFormat="1" hidden="1" x14ac:dyDescent="0.2">
      <c r="C3501" s="180"/>
    </row>
    <row r="3502" spans="3:3" s="181" customFormat="1" hidden="1" x14ac:dyDescent="0.2">
      <c r="C3502" s="180"/>
    </row>
    <row r="3503" spans="3:3" s="181" customFormat="1" hidden="1" x14ac:dyDescent="0.2">
      <c r="C3503" s="180"/>
    </row>
    <row r="3504" spans="3:3" s="181" customFormat="1" hidden="1" x14ac:dyDescent="0.2">
      <c r="C3504" s="180"/>
    </row>
    <row r="3505" spans="3:3" s="181" customFormat="1" hidden="1" x14ac:dyDescent="0.2">
      <c r="C3505" s="180"/>
    </row>
    <row r="3506" spans="3:3" s="181" customFormat="1" hidden="1" x14ac:dyDescent="0.2">
      <c r="C3506" s="180"/>
    </row>
    <row r="3507" spans="3:3" s="181" customFormat="1" hidden="1" x14ac:dyDescent="0.2">
      <c r="C3507" s="180"/>
    </row>
    <row r="3508" spans="3:3" s="181" customFormat="1" hidden="1" x14ac:dyDescent="0.2">
      <c r="C3508" s="180"/>
    </row>
    <row r="3509" spans="3:3" s="181" customFormat="1" hidden="1" x14ac:dyDescent="0.2">
      <c r="C3509" s="180"/>
    </row>
    <row r="3510" spans="3:3" s="181" customFormat="1" hidden="1" x14ac:dyDescent="0.2">
      <c r="C3510" s="180"/>
    </row>
    <row r="3511" spans="3:3" s="181" customFormat="1" hidden="1" x14ac:dyDescent="0.2">
      <c r="C3511" s="180"/>
    </row>
    <row r="3512" spans="3:3" s="181" customFormat="1" hidden="1" x14ac:dyDescent="0.2">
      <c r="C3512" s="180"/>
    </row>
    <row r="3513" spans="3:3" s="181" customFormat="1" hidden="1" x14ac:dyDescent="0.2">
      <c r="C3513" s="180"/>
    </row>
    <row r="3514" spans="3:3" s="181" customFormat="1" hidden="1" x14ac:dyDescent="0.2">
      <c r="C3514" s="180"/>
    </row>
    <row r="3515" spans="3:3" s="181" customFormat="1" hidden="1" x14ac:dyDescent="0.2">
      <c r="C3515" s="180"/>
    </row>
    <row r="3516" spans="3:3" s="181" customFormat="1" hidden="1" x14ac:dyDescent="0.2">
      <c r="C3516" s="180"/>
    </row>
    <row r="3517" spans="3:3" s="181" customFormat="1" hidden="1" x14ac:dyDescent="0.2">
      <c r="C3517" s="180"/>
    </row>
    <row r="3518" spans="3:3" s="181" customFormat="1" hidden="1" x14ac:dyDescent="0.2">
      <c r="C3518" s="180"/>
    </row>
    <row r="3519" spans="3:3" s="181" customFormat="1" hidden="1" x14ac:dyDescent="0.2">
      <c r="C3519" s="180"/>
    </row>
    <row r="3520" spans="3:3" s="181" customFormat="1" hidden="1" x14ac:dyDescent="0.2">
      <c r="C3520" s="180"/>
    </row>
    <row r="3521" spans="3:3" s="181" customFormat="1" hidden="1" x14ac:dyDescent="0.2">
      <c r="C3521" s="180"/>
    </row>
    <row r="3522" spans="3:3" s="181" customFormat="1" hidden="1" x14ac:dyDescent="0.2">
      <c r="C3522" s="180"/>
    </row>
    <row r="3523" spans="3:3" s="181" customFormat="1" hidden="1" x14ac:dyDescent="0.2">
      <c r="C3523" s="180"/>
    </row>
    <row r="3524" spans="3:3" s="181" customFormat="1" hidden="1" x14ac:dyDescent="0.2">
      <c r="C3524" s="180"/>
    </row>
    <row r="3525" spans="3:3" s="181" customFormat="1" hidden="1" x14ac:dyDescent="0.2">
      <c r="C3525" s="180"/>
    </row>
    <row r="3526" spans="3:3" s="181" customFormat="1" hidden="1" x14ac:dyDescent="0.2">
      <c r="C3526" s="180"/>
    </row>
    <row r="3527" spans="3:3" s="181" customFormat="1" hidden="1" x14ac:dyDescent="0.2">
      <c r="C3527" s="180"/>
    </row>
    <row r="3528" spans="3:3" s="181" customFormat="1" hidden="1" x14ac:dyDescent="0.2">
      <c r="C3528" s="180"/>
    </row>
    <row r="3529" spans="3:3" s="181" customFormat="1" hidden="1" x14ac:dyDescent="0.2">
      <c r="C3529" s="180"/>
    </row>
    <row r="3530" spans="3:3" s="181" customFormat="1" hidden="1" x14ac:dyDescent="0.2">
      <c r="C3530" s="180"/>
    </row>
    <row r="3531" spans="3:3" s="181" customFormat="1" hidden="1" x14ac:dyDescent="0.2">
      <c r="C3531" s="180"/>
    </row>
    <row r="3532" spans="3:3" s="181" customFormat="1" hidden="1" x14ac:dyDescent="0.2">
      <c r="C3532" s="180"/>
    </row>
    <row r="3533" spans="3:3" s="181" customFormat="1" hidden="1" x14ac:dyDescent="0.2">
      <c r="C3533" s="180"/>
    </row>
    <row r="3534" spans="3:3" s="181" customFormat="1" hidden="1" x14ac:dyDescent="0.2">
      <c r="C3534" s="180"/>
    </row>
    <row r="3535" spans="3:3" s="181" customFormat="1" hidden="1" x14ac:dyDescent="0.2">
      <c r="C3535" s="180"/>
    </row>
    <row r="3536" spans="3:3" s="181" customFormat="1" hidden="1" x14ac:dyDescent="0.2">
      <c r="C3536" s="180"/>
    </row>
    <row r="3537" spans="3:3" s="181" customFormat="1" hidden="1" x14ac:dyDescent="0.2">
      <c r="C3537" s="180"/>
    </row>
    <row r="3538" spans="3:3" s="181" customFormat="1" hidden="1" x14ac:dyDescent="0.2">
      <c r="C3538" s="180"/>
    </row>
    <row r="3539" spans="3:3" s="181" customFormat="1" hidden="1" x14ac:dyDescent="0.2">
      <c r="C3539" s="180"/>
    </row>
    <row r="3540" spans="3:3" s="181" customFormat="1" hidden="1" x14ac:dyDescent="0.2">
      <c r="C3540" s="180"/>
    </row>
    <row r="3541" spans="3:3" s="181" customFormat="1" hidden="1" x14ac:dyDescent="0.2">
      <c r="C3541" s="180"/>
    </row>
    <row r="3542" spans="3:3" s="181" customFormat="1" hidden="1" x14ac:dyDescent="0.2">
      <c r="C3542" s="180"/>
    </row>
    <row r="3543" spans="3:3" s="181" customFormat="1" hidden="1" x14ac:dyDescent="0.2">
      <c r="C3543" s="180"/>
    </row>
    <row r="3544" spans="3:3" s="181" customFormat="1" hidden="1" x14ac:dyDescent="0.2">
      <c r="C3544" s="180"/>
    </row>
    <row r="3545" spans="3:3" s="181" customFormat="1" hidden="1" x14ac:dyDescent="0.2">
      <c r="C3545" s="180"/>
    </row>
    <row r="3546" spans="3:3" s="181" customFormat="1" hidden="1" x14ac:dyDescent="0.2">
      <c r="C3546" s="180"/>
    </row>
    <row r="3547" spans="3:3" s="181" customFormat="1" hidden="1" x14ac:dyDescent="0.2">
      <c r="C3547" s="180"/>
    </row>
    <row r="3548" spans="3:3" s="181" customFormat="1" hidden="1" x14ac:dyDescent="0.2">
      <c r="C3548" s="180"/>
    </row>
    <row r="3549" spans="3:3" s="181" customFormat="1" hidden="1" x14ac:dyDescent="0.2">
      <c r="C3549" s="180"/>
    </row>
    <row r="3550" spans="3:3" s="181" customFormat="1" hidden="1" x14ac:dyDescent="0.2">
      <c r="C3550" s="180"/>
    </row>
    <row r="3551" spans="3:3" s="181" customFormat="1" hidden="1" x14ac:dyDescent="0.2">
      <c r="C3551" s="180"/>
    </row>
    <row r="3552" spans="3:3" s="181" customFormat="1" hidden="1" x14ac:dyDescent="0.2">
      <c r="C3552" s="180"/>
    </row>
    <row r="3553" spans="3:3" s="181" customFormat="1" hidden="1" x14ac:dyDescent="0.2">
      <c r="C3553" s="180"/>
    </row>
    <row r="3554" spans="3:3" s="181" customFormat="1" hidden="1" x14ac:dyDescent="0.2">
      <c r="C3554" s="180"/>
    </row>
    <row r="3555" spans="3:3" s="181" customFormat="1" hidden="1" x14ac:dyDescent="0.2">
      <c r="C3555" s="180"/>
    </row>
    <row r="3556" spans="3:3" s="181" customFormat="1" hidden="1" x14ac:dyDescent="0.2">
      <c r="C3556" s="180"/>
    </row>
    <row r="3557" spans="3:3" s="181" customFormat="1" hidden="1" x14ac:dyDescent="0.2">
      <c r="C3557" s="180"/>
    </row>
    <row r="3558" spans="3:3" s="181" customFormat="1" hidden="1" x14ac:dyDescent="0.2">
      <c r="C3558" s="180"/>
    </row>
    <row r="3559" spans="3:3" s="181" customFormat="1" hidden="1" x14ac:dyDescent="0.2">
      <c r="C3559" s="180"/>
    </row>
    <row r="3560" spans="3:3" s="181" customFormat="1" hidden="1" x14ac:dyDescent="0.2">
      <c r="C3560" s="180"/>
    </row>
    <row r="3561" spans="3:3" s="181" customFormat="1" hidden="1" x14ac:dyDescent="0.2">
      <c r="C3561" s="180"/>
    </row>
    <row r="3562" spans="3:3" s="181" customFormat="1" hidden="1" x14ac:dyDescent="0.2">
      <c r="C3562" s="180"/>
    </row>
    <row r="3563" spans="3:3" s="181" customFormat="1" hidden="1" x14ac:dyDescent="0.2">
      <c r="C3563" s="180"/>
    </row>
    <row r="3564" spans="3:3" s="181" customFormat="1" hidden="1" x14ac:dyDescent="0.2">
      <c r="C3564" s="180"/>
    </row>
    <row r="3565" spans="3:3" s="181" customFormat="1" hidden="1" x14ac:dyDescent="0.2">
      <c r="C3565" s="180"/>
    </row>
    <row r="3566" spans="3:3" s="181" customFormat="1" hidden="1" x14ac:dyDescent="0.2">
      <c r="C3566" s="180"/>
    </row>
    <row r="3567" spans="3:3" s="181" customFormat="1" hidden="1" x14ac:dyDescent="0.2">
      <c r="C3567" s="180"/>
    </row>
    <row r="3568" spans="3:3" s="181" customFormat="1" hidden="1" x14ac:dyDescent="0.2">
      <c r="C3568" s="180"/>
    </row>
    <row r="3569" spans="3:3" s="181" customFormat="1" hidden="1" x14ac:dyDescent="0.2">
      <c r="C3569" s="180"/>
    </row>
    <row r="3570" spans="3:3" s="181" customFormat="1" hidden="1" x14ac:dyDescent="0.2">
      <c r="C3570" s="180"/>
    </row>
    <row r="3571" spans="3:3" s="181" customFormat="1" hidden="1" x14ac:dyDescent="0.2">
      <c r="C3571" s="180"/>
    </row>
    <row r="3572" spans="3:3" s="181" customFormat="1" hidden="1" x14ac:dyDescent="0.2">
      <c r="C3572" s="180"/>
    </row>
    <row r="3573" spans="3:3" s="181" customFormat="1" hidden="1" x14ac:dyDescent="0.2">
      <c r="C3573" s="180"/>
    </row>
    <row r="3574" spans="3:3" s="181" customFormat="1" hidden="1" x14ac:dyDescent="0.2">
      <c r="C3574" s="180"/>
    </row>
    <row r="3575" spans="3:3" s="181" customFormat="1" hidden="1" x14ac:dyDescent="0.2">
      <c r="C3575" s="180"/>
    </row>
    <row r="3576" spans="3:3" s="181" customFormat="1" hidden="1" x14ac:dyDescent="0.2">
      <c r="C3576" s="180"/>
    </row>
    <row r="3577" spans="3:3" s="181" customFormat="1" hidden="1" x14ac:dyDescent="0.2">
      <c r="C3577" s="180"/>
    </row>
    <row r="3578" spans="3:3" s="181" customFormat="1" hidden="1" x14ac:dyDescent="0.2">
      <c r="C3578" s="180"/>
    </row>
    <row r="3579" spans="3:3" s="181" customFormat="1" hidden="1" x14ac:dyDescent="0.2">
      <c r="C3579" s="180"/>
    </row>
    <row r="3580" spans="3:3" s="181" customFormat="1" hidden="1" x14ac:dyDescent="0.2">
      <c r="C3580" s="180"/>
    </row>
    <row r="3581" spans="3:3" s="181" customFormat="1" hidden="1" x14ac:dyDescent="0.2">
      <c r="C3581" s="180"/>
    </row>
    <row r="3582" spans="3:3" s="181" customFormat="1" hidden="1" x14ac:dyDescent="0.2">
      <c r="C3582" s="180"/>
    </row>
    <row r="3583" spans="3:3" s="181" customFormat="1" hidden="1" x14ac:dyDescent="0.2">
      <c r="C3583" s="180"/>
    </row>
    <row r="3584" spans="3:3" s="181" customFormat="1" hidden="1" x14ac:dyDescent="0.2">
      <c r="C3584" s="180"/>
    </row>
    <row r="3585" spans="3:3" s="181" customFormat="1" hidden="1" x14ac:dyDescent="0.2">
      <c r="C3585" s="180"/>
    </row>
    <row r="3586" spans="3:3" s="181" customFormat="1" hidden="1" x14ac:dyDescent="0.2">
      <c r="C3586" s="180"/>
    </row>
    <row r="3587" spans="3:3" s="181" customFormat="1" hidden="1" x14ac:dyDescent="0.2">
      <c r="C3587" s="180"/>
    </row>
    <row r="3588" spans="3:3" s="181" customFormat="1" hidden="1" x14ac:dyDescent="0.2">
      <c r="C3588" s="180"/>
    </row>
    <row r="3589" spans="3:3" s="181" customFormat="1" hidden="1" x14ac:dyDescent="0.2">
      <c r="C3589" s="180"/>
    </row>
    <row r="3590" spans="3:3" s="181" customFormat="1" hidden="1" x14ac:dyDescent="0.2">
      <c r="C3590" s="180"/>
    </row>
    <row r="3591" spans="3:3" s="181" customFormat="1" hidden="1" x14ac:dyDescent="0.2">
      <c r="C3591" s="180"/>
    </row>
    <row r="3592" spans="3:3" s="181" customFormat="1" hidden="1" x14ac:dyDescent="0.2">
      <c r="C3592" s="180"/>
    </row>
    <row r="3593" spans="3:3" s="181" customFormat="1" hidden="1" x14ac:dyDescent="0.2">
      <c r="C3593" s="180"/>
    </row>
    <row r="3594" spans="3:3" s="181" customFormat="1" hidden="1" x14ac:dyDescent="0.2">
      <c r="C3594" s="180"/>
    </row>
    <row r="3595" spans="3:3" s="181" customFormat="1" hidden="1" x14ac:dyDescent="0.2">
      <c r="C3595" s="180"/>
    </row>
    <row r="3596" spans="3:3" s="181" customFormat="1" hidden="1" x14ac:dyDescent="0.2">
      <c r="C3596" s="180"/>
    </row>
    <row r="3597" spans="3:3" s="181" customFormat="1" hidden="1" x14ac:dyDescent="0.2">
      <c r="C3597" s="180"/>
    </row>
    <row r="3598" spans="3:3" s="181" customFormat="1" hidden="1" x14ac:dyDescent="0.2">
      <c r="C3598" s="180"/>
    </row>
    <row r="3599" spans="3:3" s="181" customFormat="1" hidden="1" x14ac:dyDescent="0.2">
      <c r="C3599" s="180"/>
    </row>
    <row r="3600" spans="3:3" s="181" customFormat="1" hidden="1" x14ac:dyDescent="0.2">
      <c r="C3600" s="180"/>
    </row>
    <row r="3601" spans="3:3" s="181" customFormat="1" hidden="1" x14ac:dyDescent="0.2">
      <c r="C3601" s="180"/>
    </row>
    <row r="3602" spans="3:3" s="181" customFormat="1" hidden="1" x14ac:dyDescent="0.2">
      <c r="C3602" s="180"/>
    </row>
    <row r="3603" spans="3:3" s="181" customFormat="1" hidden="1" x14ac:dyDescent="0.2">
      <c r="C3603" s="180"/>
    </row>
    <row r="3604" spans="3:3" s="181" customFormat="1" hidden="1" x14ac:dyDescent="0.2">
      <c r="C3604" s="180"/>
    </row>
    <row r="3605" spans="3:3" s="181" customFormat="1" hidden="1" x14ac:dyDescent="0.2">
      <c r="C3605" s="180"/>
    </row>
    <row r="3606" spans="3:3" s="181" customFormat="1" hidden="1" x14ac:dyDescent="0.2">
      <c r="C3606" s="180"/>
    </row>
    <row r="3607" spans="3:3" s="181" customFormat="1" hidden="1" x14ac:dyDescent="0.2">
      <c r="C3607" s="180"/>
    </row>
    <row r="3608" spans="3:3" s="181" customFormat="1" hidden="1" x14ac:dyDescent="0.2">
      <c r="C3608" s="180"/>
    </row>
    <row r="3609" spans="3:3" s="181" customFormat="1" hidden="1" x14ac:dyDescent="0.2">
      <c r="C3609" s="180"/>
    </row>
    <row r="3610" spans="3:3" s="181" customFormat="1" hidden="1" x14ac:dyDescent="0.2">
      <c r="C3610" s="180"/>
    </row>
    <row r="3611" spans="3:3" s="181" customFormat="1" hidden="1" x14ac:dyDescent="0.2">
      <c r="C3611" s="180"/>
    </row>
    <row r="3612" spans="3:3" s="181" customFormat="1" hidden="1" x14ac:dyDescent="0.2">
      <c r="C3612" s="180"/>
    </row>
    <row r="3613" spans="3:3" s="181" customFormat="1" hidden="1" x14ac:dyDescent="0.2">
      <c r="C3613" s="180"/>
    </row>
    <row r="3614" spans="3:3" s="181" customFormat="1" hidden="1" x14ac:dyDescent="0.2">
      <c r="C3614" s="180"/>
    </row>
    <row r="3615" spans="3:3" s="181" customFormat="1" hidden="1" x14ac:dyDescent="0.2">
      <c r="C3615" s="180"/>
    </row>
    <row r="3616" spans="3:3" s="181" customFormat="1" hidden="1" x14ac:dyDescent="0.2">
      <c r="C3616" s="180"/>
    </row>
    <row r="3617" spans="3:3" s="181" customFormat="1" hidden="1" x14ac:dyDescent="0.2">
      <c r="C3617" s="180"/>
    </row>
    <row r="3618" spans="3:3" s="181" customFormat="1" hidden="1" x14ac:dyDescent="0.2">
      <c r="C3618" s="180"/>
    </row>
    <row r="3619" spans="3:3" s="181" customFormat="1" hidden="1" x14ac:dyDescent="0.2">
      <c r="C3619" s="180"/>
    </row>
    <row r="3620" spans="3:3" s="181" customFormat="1" hidden="1" x14ac:dyDescent="0.2">
      <c r="C3620" s="180"/>
    </row>
    <row r="3621" spans="3:3" s="181" customFormat="1" hidden="1" x14ac:dyDescent="0.2">
      <c r="C3621" s="180"/>
    </row>
    <row r="3622" spans="3:3" s="181" customFormat="1" hidden="1" x14ac:dyDescent="0.2">
      <c r="C3622" s="180"/>
    </row>
    <row r="3623" spans="3:3" s="181" customFormat="1" hidden="1" x14ac:dyDescent="0.2">
      <c r="C3623" s="180"/>
    </row>
    <row r="3624" spans="3:3" s="181" customFormat="1" hidden="1" x14ac:dyDescent="0.2">
      <c r="C3624" s="180"/>
    </row>
    <row r="3625" spans="3:3" s="181" customFormat="1" hidden="1" x14ac:dyDescent="0.2">
      <c r="C3625" s="180"/>
    </row>
    <row r="3626" spans="3:3" s="181" customFormat="1" hidden="1" x14ac:dyDescent="0.2">
      <c r="C3626" s="180"/>
    </row>
    <row r="3627" spans="3:3" s="181" customFormat="1" hidden="1" x14ac:dyDescent="0.2">
      <c r="C3627" s="180"/>
    </row>
    <row r="3628" spans="3:3" s="181" customFormat="1" hidden="1" x14ac:dyDescent="0.2">
      <c r="C3628" s="180"/>
    </row>
    <row r="3629" spans="3:3" s="181" customFormat="1" hidden="1" x14ac:dyDescent="0.2">
      <c r="C3629" s="180"/>
    </row>
    <row r="3630" spans="3:3" s="181" customFormat="1" hidden="1" x14ac:dyDescent="0.2">
      <c r="C3630" s="180"/>
    </row>
    <row r="3631" spans="3:3" s="181" customFormat="1" hidden="1" x14ac:dyDescent="0.2">
      <c r="C3631" s="180"/>
    </row>
    <row r="3632" spans="3:3" s="181" customFormat="1" hidden="1" x14ac:dyDescent="0.2">
      <c r="C3632" s="180"/>
    </row>
    <row r="3633" spans="3:3" s="181" customFormat="1" hidden="1" x14ac:dyDescent="0.2">
      <c r="C3633" s="180"/>
    </row>
    <row r="3634" spans="3:3" s="181" customFormat="1" hidden="1" x14ac:dyDescent="0.2">
      <c r="C3634" s="180"/>
    </row>
    <row r="3635" spans="3:3" s="181" customFormat="1" hidden="1" x14ac:dyDescent="0.2">
      <c r="C3635" s="180"/>
    </row>
    <row r="3636" spans="3:3" s="181" customFormat="1" hidden="1" x14ac:dyDescent="0.2">
      <c r="C3636" s="180"/>
    </row>
    <row r="3637" spans="3:3" s="181" customFormat="1" hidden="1" x14ac:dyDescent="0.2">
      <c r="C3637" s="180"/>
    </row>
    <row r="3638" spans="3:3" s="181" customFormat="1" hidden="1" x14ac:dyDescent="0.2">
      <c r="C3638" s="180"/>
    </row>
    <row r="3639" spans="3:3" s="181" customFormat="1" hidden="1" x14ac:dyDescent="0.2">
      <c r="C3639" s="180"/>
    </row>
    <row r="3640" spans="3:3" s="181" customFormat="1" hidden="1" x14ac:dyDescent="0.2">
      <c r="C3640" s="180"/>
    </row>
    <row r="3641" spans="3:3" s="181" customFormat="1" hidden="1" x14ac:dyDescent="0.2">
      <c r="C3641" s="180"/>
    </row>
    <row r="3642" spans="3:3" s="181" customFormat="1" hidden="1" x14ac:dyDescent="0.2">
      <c r="C3642" s="180"/>
    </row>
    <row r="3643" spans="3:3" s="181" customFormat="1" hidden="1" x14ac:dyDescent="0.2">
      <c r="C3643" s="180"/>
    </row>
    <row r="3644" spans="3:3" s="181" customFormat="1" hidden="1" x14ac:dyDescent="0.2">
      <c r="C3644" s="180"/>
    </row>
    <row r="3645" spans="3:3" s="181" customFormat="1" hidden="1" x14ac:dyDescent="0.2">
      <c r="C3645" s="180"/>
    </row>
    <row r="3646" spans="3:3" s="181" customFormat="1" hidden="1" x14ac:dyDescent="0.2">
      <c r="C3646" s="180"/>
    </row>
    <row r="3647" spans="3:3" s="181" customFormat="1" hidden="1" x14ac:dyDescent="0.2">
      <c r="C3647" s="180"/>
    </row>
    <row r="3648" spans="3:3" s="181" customFormat="1" hidden="1" x14ac:dyDescent="0.2">
      <c r="C3648" s="180"/>
    </row>
    <row r="3649" spans="3:3" s="181" customFormat="1" hidden="1" x14ac:dyDescent="0.2">
      <c r="C3649" s="180"/>
    </row>
    <row r="3650" spans="3:3" s="181" customFormat="1" hidden="1" x14ac:dyDescent="0.2">
      <c r="C3650" s="180"/>
    </row>
    <row r="3651" spans="3:3" s="181" customFormat="1" hidden="1" x14ac:dyDescent="0.2">
      <c r="C3651" s="180"/>
    </row>
    <row r="3652" spans="3:3" s="181" customFormat="1" hidden="1" x14ac:dyDescent="0.2">
      <c r="C3652" s="180"/>
    </row>
    <row r="3653" spans="3:3" s="181" customFormat="1" hidden="1" x14ac:dyDescent="0.2">
      <c r="C3653" s="180"/>
    </row>
    <row r="3654" spans="3:3" s="181" customFormat="1" hidden="1" x14ac:dyDescent="0.2">
      <c r="C3654" s="180"/>
    </row>
    <row r="3655" spans="3:3" s="181" customFormat="1" hidden="1" x14ac:dyDescent="0.2">
      <c r="C3655" s="180"/>
    </row>
    <row r="3656" spans="3:3" s="181" customFormat="1" hidden="1" x14ac:dyDescent="0.2">
      <c r="C3656" s="180"/>
    </row>
    <row r="3657" spans="3:3" s="181" customFormat="1" hidden="1" x14ac:dyDescent="0.2">
      <c r="C3657" s="180"/>
    </row>
    <row r="3658" spans="3:3" s="181" customFormat="1" hidden="1" x14ac:dyDescent="0.2">
      <c r="C3658" s="180"/>
    </row>
    <row r="3659" spans="3:3" s="181" customFormat="1" hidden="1" x14ac:dyDescent="0.2">
      <c r="C3659" s="180"/>
    </row>
    <row r="3660" spans="3:3" s="181" customFormat="1" hidden="1" x14ac:dyDescent="0.2">
      <c r="C3660" s="180"/>
    </row>
    <row r="3661" spans="3:3" s="181" customFormat="1" hidden="1" x14ac:dyDescent="0.2">
      <c r="C3661" s="180"/>
    </row>
    <row r="3662" spans="3:3" s="181" customFormat="1" hidden="1" x14ac:dyDescent="0.2">
      <c r="C3662" s="180"/>
    </row>
    <row r="3663" spans="3:3" s="181" customFormat="1" hidden="1" x14ac:dyDescent="0.2">
      <c r="C3663" s="180"/>
    </row>
    <row r="3664" spans="3:3" s="181" customFormat="1" hidden="1" x14ac:dyDescent="0.2">
      <c r="C3664" s="180"/>
    </row>
    <row r="3665" spans="3:3" s="181" customFormat="1" hidden="1" x14ac:dyDescent="0.2">
      <c r="C3665" s="180"/>
    </row>
    <row r="3666" spans="3:3" s="181" customFormat="1" hidden="1" x14ac:dyDescent="0.2">
      <c r="C3666" s="180"/>
    </row>
    <row r="3667" spans="3:3" s="181" customFormat="1" hidden="1" x14ac:dyDescent="0.2">
      <c r="C3667" s="180"/>
    </row>
    <row r="3668" spans="3:3" s="181" customFormat="1" hidden="1" x14ac:dyDescent="0.2">
      <c r="C3668" s="180"/>
    </row>
    <row r="3669" spans="3:3" s="181" customFormat="1" hidden="1" x14ac:dyDescent="0.2">
      <c r="C3669" s="180"/>
    </row>
    <row r="3670" spans="3:3" s="181" customFormat="1" hidden="1" x14ac:dyDescent="0.2">
      <c r="C3670" s="180"/>
    </row>
    <row r="3671" spans="3:3" s="181" customFormat="1" hidden="1" x14ac:dyDescent="0.2">
      <c r="C3671" s="180"/>
    </row>
    <row r="3672" spans="3:3" s="181" customFormat="1" hidden="1" x14ac:dyDescent="0.2">
      <c r="C3672" s="180"/>
    </row>
    <row r="3673" spans="3:3" s="181" customFormat="1" hidden="1" x14ac:dyDescent="0.2">
      <c r="C3673" s="180"/>
    </row>
    <row r="3674" spans="3:3" s="181" customFormat="1" hidden="1" x14ac:dyDescent="0.2">
      <c r="C3674" s="180"/>
    </row>
    <row r="3675" spans="3:3" s="181" customFormat="1" hidden="1" x14ac:dyDescent="0.2">
      <c r="C3675" s="180"/>
    </row>
    <row r="3676" spans="3:3" s="181" customFormat="1" hidden="1" x14ac:dyDescent="0.2">
      <c r="C3676" s="180"/>
    </row>
    <row r="3677" spans="3:3" s="181" customFormat="1" hidden="1" x14ac:dyDescent="0.2">
      <c r="C3677" s="180"/>
    </row>
    <row r="3678" spans="3:3" s="181" customFormat="1" hidden="1" x14ac:dyDescent="0.2">
      <c r="C3678" s="180"/>
    </row>
    <row r="3679" spans="3:3" s="181" customFormat="1" hidden="1" x14ac:dyDescent="0.2">
      <c r="C3679" s="180"/>
    </row>
    <row r="3680" spans="3:3" s="181" customFormat="1" hidden="1" x14ac:dyDescent="0.2">
      <c r="C3680" s="180"/>
    </row>
    <row r="3681" spans="3:3" s="181" customFormat="1" hidden="1" x14ac:dyDescent="0.2">
      <c r="C3681" s="180"/>
    </row>
    <row r="3682" spans="3:3" s="181" customFormat="1" hidden="1" x14ac:dyDescent="0.2">
      <c r="C3682" s="180"/>
    </row>
    <row r="3683" spans="3:3" s="181" customFormat="1" hidden="1" x14ac:dyDescent="0.2">
      <c r="C3683" s="180"/>
    </row>
    <row r="3684" spans="3:3" s="181" customFormat="1" hidden="1" x14ac:dyDescent="0.2">
      <c r="C3684" s="180"/>
    </row>
    <row r="3685" spans="3:3" s="181" customFormat="1" hidden="1" x14ac:dyDescent="0.2">
      <c r="C3685" s="180"/>
    </row>
    <row r="3686" spans="3:3" s="181" customFormat="1" hidden="1" x14ac:dyDescent="0.2">
      <c r="C3686" s="180"/>
    </row>
    <row r="3687" spans="3:3" s="181" customFormat="1" hidden="1" x14ac:dyDescent="0.2">
      <c r="C3687" s="180"/>
    </row>
    <row r="3688" spans="3:3" s="181" customFormat="1" hidden="1" x14ac:dyDescent="0.2">
      <c r="C3688" s="180"/>
    </row>
    <row r="3689" spans="3:3" s="181" customFormat="1" hidden="1" x14ac:dyDescent="0.2">
      <c r="C3689" s="180"/>
    </row>
    <row r="3690" spans="3:3" s="181" customFormat="1" hidden="1" x14ac:dyDescent="0.2">
      <c r="C3690" s="180"/>
    </row>
    <row r="3691" spans="3:3" s="181" customFormat="1" hidden="1" x14ac:dyDescent="0.2">
      <c r="C3691" s="180"/>
    </row>
    <row r="3692" spans="3:3" s="181" customFormat="1" hidden="1" x14ac:dyDescent="0.2">
      <c r="C3692" s="180"/>
    </row>
    <row r="3693" spans="3:3" s="181" customFormat="1" hidden="1" x14ac:dyDescent="0.2">
      <c r="C3693" s="180"/>
    </row>
    <row r="3694" spans="3:3" s="181" customFormat="1" hidden="1" x14ac:dyDescent="0.2">
      <c r="C3694" s="180"/>
    </row>
    <row r="3695" spans="3:3" s="181" customFormat="1" hidden="1" x14ac:dyDescent="0.2">
      <c r="C3695" s="180"/>
    </row>
    <row r="3696" spans="3:3" s="181" customFormat="1" hidden="1" x14ac:dyDescent="0.2">
      <c r="C3696" s="180"/>
    </row>
    <row r="3697" spans="3:3" s="181" customFormat="1" hidden="1" x14ac:dyDescent="0.2">
      <c r="C3697" s="180"/>
    </row>
    <row r="3698" spans="3:3" s="181" customFormat="1" hidden="1" x14ac:dyDescent="0.2">
      <c r="C3698" s="180"/>
    </row>
    <row r="3699" spans="3:3" s="181" customFormat="1" hidden="1" x14ac:dyDescent="0.2">
      <c r="C3699" s="180"/>
    </row>
    <row r="3700" spans="3:3" s="181" customFormat="1" hidden="1" x14ac:dyDescent="0.2">
      <c r="C3700" s="180"/>
    </row>
    <row r="3701" spans="3:3" s="181" customFormat="1" hidden="1" x14ac:dyDescent="0.2">
      <c r="C3701" s="180"/>
    </row>
    <row r="3702" spans="3:3" s="181" customFormat="1" hidden="1" x14ac:dyDescent="0.2">
      <c r="C3702" s="180"/>
    </row>
    <row r="3703" spans="3:3" s="181" customFormat="1" hidden="1" x14ac:dyDescent="0.2">
      <c r="C3703" s="180"/>
    </row>
    <row r="3704" spans="3:3" s="181" customFormat="1" hidden="1" x14ac:dyDescent="0.2">
      <c r="C3704" s="180"/>
    </row>
    <row r="3705" spans="3:3" s="181" customFormat="1" hidden="1" x14ac:dyDescent="0.2">
      <c r="C3705" s="180"/>
    </row>
    <row r="3706" spans="3:3" s="181" customFormat="1" hidden="1" x14ac:dyDescent="0.2">
      <c r="C3706" s="180"/>
    </row>
    <row r="3707" spans="3:3" s="181" customFormat="1" hidden="1" x14ac:dyDescent="0.2">
      <c r="C3707" s="180"/>
    </row>
    <row r="3708" spans="3:3" s="181" customFormat="1" hidden="1" x14ac:dyDescent="0.2">
      <c r="C3708" s="180"/>
    </row>
    <row r="3709" spans="3:3" s="181" customFormat="1" hidden="1" x14ac:dyDescent="0.2">
      <c r="C3709" s="180"/>
    </row>
    <row r="3710" spans="3:3" s="181" customFormat="1" hidden="1" x14ac:dyDescent="0.2">
      <c r="C3710" s="180"/>
    </row>
    <row r="3711" spans="3:3" s="181" customFormat="1" hidden="1" x14ac:dyDescent="0.2">
      <c r="C3711" s="180"/>
    </row>
    <row r="3712" spans="3:3" s="181" customFormat="1" hidden="1" x14ac:dyDescent="0.2">
      <c r="C3712" s="180"/>
    </row>
    <row r="3713" spans="3:3" s="181" customFormat="1" hidden="1" x14ac:dyDescent="0.2">
      <c r="C3713" s="180"/>
    </row>
    <row r="3714" spans="3:3" s="181" customFormat="1" hidden="1" x14ac:dyDescent="0.2">
      <c r="C3714" s="180"/>
    </row>
    <row r="3715" spans="3:3" s="181" customFormat="1" hidden="1" x14ac:dyDescent="0.2">
      <c r="C3715" s="180"/>
    </row>
    <row r="3716" spans="3:3" s="181" customFormat="1" hidden="1" x14ac:dyDescent="0.2">
      <c r="C3716" s="180"/>
    </row>
    <row r="3717" spans="3:3" s="181" customFormat="1" hidden="1" x14ac:dyDescent="0.2">
      <c r="C3717" s="180"/>
    </row>
    <row r="3718" spans="3:3" s="181" customFormat="1" hidden="1" x14ac:dyDescent="0.2">
      <c r="C3718" s="180"/>
    </row>
    <row r="3719" spans="3:3" s="181" customFormat="1" hidden="1" x14ac:dyDescent="0.2">
      <c r="C3719" s="180"/>
    </row>
    <row r="3720" spans="3:3" s="181" customFormat="1" hidden="1" x14ac:dyDescent="0.2">
      <c r="C3720" s="180"/>
    </row>
    <row r="3721" spans="3:3" s="181" customFormat="1" hidden="1" x14ac:dyDescent="0.2">
      <c r="C3721" s="180"/>
    </row>
    <row r="3722" spans="3:3" s="181" customFormat="1" hidden="1" x14ac:dyDescent="0.2">
      <c r="C3722" s="180"/>
    </row>
    <row r="3723" spans="3:3" s="181" customFormat="1" hidden="1" x14ac:dyDescent="0.2">
      <c r="C3723" s="180"/>
    </row>
    <row r="3724" spans="3:3" s="181" customFormat="1" hidden="1" x14ac:dyDescent="0.2">
      <c r="C3724" s="180"/>
    </row>
    <row r="3725" spans="3:3" s="181" customFormat="1" hidden="1" x14ac:dyDescent="0.2">
      <c r="C3725" s="180"/>
    </row>
    <row r="3726" spans="3:3" s="181" customFormat="1" hidden="1" x14ac:dyDescent="0.2">
      <c r="C3726" s="180"/>
    </row>
    <row r="3727" spans="3:3" s="181" customFormat="1" hidden="1" x14ac:dyDescent="0.2">
      <c r="C3727" s="180"/>
    </row>
    <row r="3728" spans="3:3" s="181" customFormat="1" hidden="1" x14ac:dyDescent="0.2">
      <c r="C3728" s="180"/>
    </row>
    <row r="3729" spans="3:3" s="181" customFormat="1" hidden="1" x14ac:dyDescent="0.2">
      <c r="C3729" s="180"/>
    </row>
    <row r="3730" spans="3:3" s="181" customFormat="1" hidden="1" x14ac:dyDescent="0.2">
      <c r="C3730" s="180"/>
    </row>
    <row r="3731" spans="3:3" s="181" customFormat="1" hidden="1" x14ac:dyDescent="0.2">
      <c r="C3731" s="180"/>
    </row>
    <row r="3732" spans="3:3" s="181" customFormat="1" hidden="1" x14ac:dyDescent="0.2">
      <c r="C3732" s="180"/>
    </row>
    <row r="3733" spans="3:3" s="181" customFormat="1" hidden="1" x14ac:dyDescent="0.2">
      <c r="C3733" s="180"/>
    </row>
    <row r="3734" spans="3:3" s="181" customFormat="1" hidden="1" x14ac:dyDescent="0.2">
      <c r="C3734" s="180"/>
    </row>
    <row r="3735" spans="3:3" s="181" customFormat="1" hidden="1" x14ac:dyDescent="0.2">
      <c r="C3735" s="180"/>
    </row>
    <row r="3736" spans="3:3" s="181" customFormat="1" hidden="1" x14ac:dyDescent="0.2">
      <c r="C3736" s="180"/>
    </row>
    <row r="3737" spans="3:3" s="181" customFormat="1" hidden="1" x14ac:dyDescent="0.2">
      <c r="C3737" s="180"/>
    </row>
    <row r="3738" spans="3:3" s="181" customFormat="1" hidden="1" x14ac:dyDescent="0.2">
      <c r="C3738" s="180"/>
    </row>
    <row r="3739" spans="3:3" s="181" customFormat="1" hidden="1" x14ac:dyDescent="0.2">
      <c r="C3739" s="180"/>
    </row>
    <row r="3740" spans="3:3" s="181" customFormat="1" hidden="1" x14ac:dyDescent="0.2">
      <c r="C3740" s="180"/>
    </row>
    <row r="3741" spans="3:3" s="181" customFormat="1" hidden="1" x14ac:dyDescent="0.2">
      <c r="C3741" s="180"/>
    </row>
    <row r="3742" spans="3:3" s="181" customFormat="1" hidden="1" x14ac:dyDescent="0.2">
      <c r="C3742" s="180"/>
    </row>
    <row r="3743" spans="3:3" s="181" customFormat="1" hidden="1" x14ac:dyDescent="0.2">
      <c r="C3743" s="180"/>
    </row>
    <row r="3744" spans="3:3" s="181" customFormat="1" hidden="1" x14ac:dyDescent="0.2">
      <c r="C3744" s="180"/>
    </row>
    <row r="3745" spans="3:3" s="181" customFormat="1" hidden="1" x14ac:dyDescent="0.2">
      <c r="C3745" s="180"/>
    </row>
    <row r="3746" spans="3:3" s="181" customFormat="1" hidden="1" x14ac:dyDescent="0.2">
      <c r="C3746" s="180"/>
    </row>
    <row r="3747" spans="3:3" s="181" customFormat="1" hidden="1" x14ac:dyDescent="0.2">
      <c r="C3747" s="180"/>
    </row>
    <row r="3748" spans="3:3" s="181" customFormat="1" hidden="1" x14ac:dyDescent="0.2">
      <c r="C3748" s="180"/>
    </row>
    <row r="3749" spans="3:3" s="181" customFormat="1" hidden="1" x14ac:dyDescent="0.2">
      <c r="C3749" s="180"/>
    </row>
    <row r="3750" spans="3:3" s="181" customFormat="1" hidden="1" x14ac:dyDescent="0.2">
      <c r="C3750" s="180"/>
    </row>
    <row r="3751" spans="3:3" s="181" customFormat="1" hidden="1" x14ac:dyDescent="0.2">
      <c r="C3751" s="180"/>
    </row>
    <row r="3752" spans="3:3" s="181" customFormat="1" hidden="1" x14ac:dyDescent="0.2">
      <c r="C3752" s="180"/>
    </row>
    <row r="3753" spans="3:3" s="181" customFormat="1" hidden="1" x14ac:dyDescent="0.2">
      <c r="C3753" s="180"/>
    </row>
    <row r="3754" spans="3:3" s="181" customFormat="1" hidden="1" x14ac:dyDescent="0.2">
      <c r="C3754" s="180"/>
    </row>
    <row r="3755" spans="3:3" s="181" customFormat="1" hidden="1" x14ac:dyDescent="0.2">
      <c r="C3755" s="180"/>
    </row>
    <row r="3756" spans="3:3" s="181" customFormat="1" hidden="1" x14ac:dyDescent="0.2">
      <c r="C3756" s="180"/>
    </row>
    <row r="3757" spans="3:3" s="181" customFormat="1" hidden="1" x14ac:dyDescent="0.2">
      <c r="C3757" s="180"/>
    </row>
    <row r="3758" spans="3:3" s="181" customFormat="1" hidden="1" x14ac:dyDescent="0.2">
      <c r="C3758" s="180"/>
    </row>
    <row r="3759" spans="3:3" s="181" customFormat="1" hidden="1" x14ac:dyDescent="0.2">
      <c r="C3759" s="180"/>
    </row>
    <row r="3760" spans="3:3" s="181" customFormat="1" hidden="1" x14ac:dyDescent="0.2">
      <c r="C3760" s="180"/>
    </row>
    <row r="3761" spans="3:3" s="181" customFormat="1" hidden="1" x14ac:dyDescent="0.2">
      <c r="C3761" s="180"/>
    </row>
    <row r="3762" spans="3:3" s="181" customFormat="1" hidden="1" x14ac:dyDescent="0.2">
      <c r="C3762" s="180"/>
    </row>
    <row r="3763" spans="3:3" s="181" customFormat="1" hidden="1" x14ac:dyDescent="0.2">
      <c r="C3763" s="180"/>
    </row>
    <row r="3764" spans="3:3" s="181" customFormat="1" hidden="1" x14ac:dyDescent="0.2">
      <c r="C3764" s="180"/>
    </row>
    <row r="3765" spans="3:3" s="181" customFormat="1" hidden="1" x14ac:dyDescent="0.2">
      <c r="C3765" s="180"/>
    </row>
    <row r="3766" spans="3:3" s="181" customFormat="1" hidden="1" x14ac:dyDescent="0.2">
      <c r="C3766" s="180"/>
    </row>
    <row r="3767" spans="3:3" s="181" customFormat="1" hidden="1" x14ac:dyDescent="0.2">
      <c r="C3767" s="180"/>
    </row>
    <row r="3768" spans="3:3" s="181" customFormat="1" hidden="1" x14ac:dyDescent="0.2">
      <c r="C3768" s="180"/>
    </row>
    <row r="3769" spans="3:3" s="181" customFormat="1" hidden="1" x14ac:dyDescent="0.2">
      <c r="C3769" s="180"/>
    </row>
    <row r="3770" spans="3:3" s="181" customFormat="1" hidden="1" x14ac:dyDescent="0.2">
      <c r="C3770" s="180"/>
    </row>
    <row r="3771" spans="3:3" s="181" customFormat="1" hidden="1" x14ac:dyDescent="0.2">
      <c r="C3771" s="180"/>
    </row>
    <row r="3772" spans="3:3" s="181" customFormat="1" hidden="1" x14ac:dyDescent="0.2">
      <c r="C3772" s="180"/>
    </row>
    <row r="3773" spans="3:3" s="181" customFormat="1" hidden="1" x14ac:dyDescent="0.2">
      <c r="C3773" s="180"/>
    </row>
    <row r="3774" spans="3:3" s="181" customFormat="1" hidden="1" x14ac:dyDescent="0.2">
      <c r="C3774" s="180"/>
    </row>
    <row r="3775" spans="3:3" s="181" customFormat="1" hidden="1" x14ac:dyDescent="0.2">
      <c r="C3775" s="180"/>
    </row>
    <row r="3776" spans="3:3" s="181" customFormat="1" hidden="1" x14ac:dyDescent="0.2">
      <c r="C3776" s="180"/>
    </row>
    <row r="3777" spans="3:3" s="181" customFormat="1" hidden="1" x14ac:dyDescent="0.2">
      <c r="C3777" s="180"/>
    </row>
    <row r="3778" spans="3:3" s="181" customFormat="1" hidden="1" x14ac:dyDescent="0.2">
      <c r="C3778" s="180"/>
    </row>
    <row r="3779" spans="3:3" s="181" customFormat="1" hidden="1" x14ac:dyDescent="0.2">
      <c r="C3779" s="180"/>
    </row>
    <row r="3780" spans="3:3" s="181" customFormat="1" hidden="1" x14ac:dyDescent="0.2">
      <c r="C3780" s="180"/>
    </row>
    <row r="3781" spans="3:3" s="181" customFormat="1" hidden="1" x14ac:dyDescent="0.2">
      <c r="C3781" s="180"/>
    </row>
    <row r="3782" spans="3:3" s="181" customFormat="1" hidden="1" x14ac:dyDescent="0.2">
      <c r="C3782" s="180"/>
    </row>
    <row r="3783" spans="3:3" s="181" customFormat="1" hidden="1" x14ac:dyDescent="0.2">
      <c r="C3783" s="180"/>
    </row>
    <row r="3784" spans="3:3" s="181" customFormat="1" hidden="1" x14ac:dyDescent="0.2">
      <c r="C3784" s="180"/>
    </row>
    <row r="3785" spans="3:3" s="181" customFormat="1" hidden="1" x14ac:dyDescent="0.2">
      <c r="C3785" s="180"/>
    </row>
    <row r="3786" spans="3:3" s="181" customFormat="1" hidden="1" x14ac:dyDescent="0.2">
      <c r="C3786" s="180"/>
    </row>
    <row r="3787" spans="3:3" s="181" customFormat="1" hidden="1" x14ac:dyDescent="0.2">
      <c r="C3787" s="180"/>
    </row>
    <row r="3788" spans="3:3" s="181" customFormat="1" hidden="1" x14ac:dyDescent="0.2">
      <c r="C3788" s="180"/>
    </row>
    <row r="3789" spans="3:3" s="181" customFormat="1" hidden="1" x14ac:dyDescent="0.2">
      <c r="C3789" s="180"/>
    </row>
    <row r="3790" spans="3:3" s="181" customFormat="1" hidden="1" x14ac:dyDescent="0.2">
      <c r="C3790" s="180"/>
    </row>
    <row r="3791" spans="3:3" s="181" customFormat="1" hidden="1" x14ac:dyDescent="0.2">
      <c r="C3791" s="180"/>
    </row>
    <row r="3792" spans="3:3" s="181" customFormat="1" hidden="1" x14ac:dyDescent="0.2">
      <c r="C3792" s="180"/>
    </row>
    <row r="3793" spans="3:3" s="181" customFormat="1" hidden="1" x14ac:dyDescent="0.2">
      <c r="C3793" s="180"/>
    </row>
    <row r="3794" spans="3:3" s="181" customFormat="1" hidden="1" x14ac:dyDescent="0.2">
      <c r="C3794" s="180"/>
    </row>
    <row r="3795" spans="3:3" s="181" customFormat="1" hidden="1" x14ac:dyDescent="0.2">
      <c r="C3795" s="180"/>
    </row>
    <row r="3796" spans="3:3" s="181" customFormat="1" hidden="1" x14ac:dyDescent="0.2">
      <c r="C3796" s="180"/>
    </row>
    <row r="3797" spans="3:3" s="181" customFormat="1" hidden="1" x14ac:dyDescent="0.2">
      <c r="C3797" s="180"/>
    </row>
    <row r="3798" spans="3:3" s="181" customFormat="1" hidden="1" x14ac:dyDescent="0.2">
      <c r="C3798" s="180"/>
    </row>
    <row r="3799" spans="3:3" s="181" customFormat="1" hidden="1" x14ac:dyDescent="0.2">
      <c r="C3799" s="180"/>
    </row>
    <row r="3800" spans="3:3" s="181" customFormat="1" hidden="1" x14ac:dyDescent="0.2">
      <c r="C3800" s="180"/>
    </row>
    <row r="3801" spans="3:3" s="181" customFormat="1" hidden="1" x14ac:dyDescent="0.2">
      <c r="C3801" s="180"/>
    </row>
    <row r="3802" spans="3:3" s="181" customFormat="1" hidden="1" x14ac:dyDescent="0.2">
      <c r="C3802" s="180"/>
    </row>
    <row r="3803" spans="3:3" s="181" customFormat="1" hidden="1" x14ac:dyDescent="0.2">
      <c r="C3803" s="180"/>
    </row>
    <row r="3804" spans="3:3" s="181" customFormat="1" hidden="1" x14ac:dyDescent="0.2">
      <c r="C3804" s="180"/>
    </row>
    <row r="3805" spans="3:3" s="181" customFormat="1" hidden="1" x14ac:dyDescent="0.2">
      <c r="C3805" s="180"/>
    </row>
    <row r="3806" spans="3:3" s="181" customFormat="1" hidden="1" x14ac:dyDescent="0.2">
      <c r="C3806" s="180"/>
    </row>
    <row r="3807" spans="3:3" s="181" customFormat="1" hidden="1" x14ac:dyDescent="0.2">
      <c r="C3807" s="180"/>
    </row>
    <row r="3808" spans="3:3" s="181" customFormat="1" hidden="1" x14ac:dyDescent="0.2">
      <c r="C3808" s="180"/>
    </row>
    <row r="3809" spans="3:3" s="181" customFormat="1" hidden="1" x14ac:dyDescent="0.2">
      <c r="C3809" s="180"/>
    </row>
    <row r="3810" spans="3:3" s="181" customFormat="1" hidden="1" x14ac:dyDescent="0.2">
      <c r="C3810" s="180"/>
    </row>
    <row r="3811" spans="3:3" s="181" customFormat="1" hidden="1" x14ac:dyDescent="0.2">
      <c r="C3811" s="180"/>
    </row>
    <row r="3812" spans="3:3" s="181" customFormat="1" hidden="1" x14ac:dyDescent="0.2">
      <c r="C3812" s="180"/>
    </row>
    <row r="3813" spans="3:3" s="181" customFormat="1" hidden="1" x14ac:dyDescent="0.2">
      <c r="C3813" s="180"/>
    </row>
    <row r="3814" spans="3:3" s="181" customFormat="1" hidden="1" x14ac:dyDescent="0.2">
      <c r="C3814" s="180"/>
    </row>
    <row r="3815" spans="3:3" s="181" customFormat="1" hidden="1" x14ac:dyDescent="0.2">
      <c r="C3815" s="180"/>
    </row>
    <row r="3816" spans="3:3" s="181" customFormat="1" hidden="1" x14ac:dyDescent="0.2">
      <c r="C3816" s="180"/>
    </row>
    <row r="3817" spans="3:3" s="181" customFormat="1" hidden="1" x14ac:dyDescent="0.2">
      <c r="C3817" s="180"/>
    </row>
    <row r="3818" spans="3:3" s="181" customFormat="1" hidden="1" x14ac:dyDescent="0.2">
      <c r="C3818" s="180"/>
    </row>
    <row r="3819" spans="3:3" s="181" customFormat="1" hidden="1" x14ac:dyDescent="0.2">
      <c r="C3819" s="180"/>
    </row>
    <row r="3820" spans="3:3" s="181" customFormat="1" hidden="1" x14ac:dyDescent="0.2">
      <c r="C3820" s="180"/>
    </row>
    <row r="3821" spans="3:3" s="181" customFormat="1" hidden="1" x14ac:dyDescent="0.2">
      <c r="C3821" s="180"/>
    </row>
    <row r="3822" spans="3:3" s="181" customFormat="1" hidden="1" x14ac:dyDescent="0.2">
      <c r="C3822" s="180"/>
    </row>
    <row r="3823" spans="3:3" s="181" customFormat="1" hidden="1" x14ac:dyDescent="0.2">
      <c r="C3823" s="180"/>
    </row>
    <row r="3824" spans="3:3" s="181" customFormat="1" hidden="1" x14ac:dyDescent="0.2">
      <c r="C3824" s="180"/>
    </row>
    <row r="3825" spans="3:3" s="181" customFormat="1" hidden="1" x14ac:dyDescent="0.2">
      <c r="C3825" s="180"/>
    </row>
    <row r="3826" spans="3:3" s="181" customFormat="1" hidden="1" x14ac:dyDescent="0.2">
      <c r="C3826" s="180"/>
    </row>
    <row r="3827" spans="3:3" s="181" customFormat="1" hidden="1" x14ac:dyDescent="0.2">
      <c r="C3827" s="180"/>
    </row>
    <row r="3828" spans="3:3" s="181" customFormat="1" hidden="1" x14ac:dyDescent="0.2">
      <c r="C3828" s="180"/>
    </row>
    <row r="3829" spans="3:3" s="181" customFormat="1" hidden="1" x14ac:dyDescent="0.2">
      <c r="C3829" s="180"/>
    </row>
    <row r="3830" spans="3:3" s="181" customFormat="1" hidden="1" x14ac:dyDescent="0.2">
      <c r="C3830" s="180"/>
    </row>
    <row r="3831" spans="3:3" s="181" customFormat="1" hidden="1" x14ac:dyDescent="0.2">
      <c r="C3831" s="180"/>
    </row>
    <row r="3832" spans="3:3" s="181" customFormat="1" hidden="1" x14ac:dyDescent="0.2">
      <c r="C3832" s="180"/>
    </row>
    <row r="3833" spans="3:3" s="181" customFormat="1" hidden="1" x14ac:dyDescent="0.2">
      <c r="C3833" s="180"/>
    </row>
    <row r="3834" spans="3:3" s="181" customFormat="1" hidden="1" x14ac:dyDescent="0.2">
      <c r="C3834" s="180"/>
    </row>
    <row r="3835" spans="3:3" s="181" customFormat="1" hidden="1" x14ac:dyDescent="0.2">
      <c r="C3835" s="180"/>
    </row>
    <row r="3836" spans="3:3" s="181" customFormat="1" hidden="1" x14ac:dyDescent="0.2">
      <c r="C3836" s="180"/>
    </row>
    <row r="3837" spans="3:3" s="181" customFormat="1" hidden="1" x14ac:dyDescent="0.2">
      <c r="C3837" s="180"/>
    </row>
    <row r="3838" spans="3:3" s="181" customFormat="1" hidden="1" x14ac:dyDescent="0.2">
      <c r="C3838" s="180"/>
    </row>
    <row r="3839" spans="3:3" s="181" customFormat="1" hidden="1" x14ac:dyDescent="0.2">
      <c r="C3839" s="180"/>
    </row>
    <row r="3840" spans="3:3" s="181" customFormat="1" hidden="1" x14ac:dyDescent="0.2">
      <c r="C3840" s="180"/>
    </row>
    <row r="3841" spans="3:3" s="181" customFormat="1" hidden="1" x14ac:dyDescent="0.2">
      <c r="C3841" s="180"/>
    </row>
    <row r="3842" spans="3:3" s="181" customFormat="1" hidden="1" x14ac:dyDescent="0.2">
      <c r="C3842" s="180"/>
    </row>
    <row r="3843" spans="3:3" s="181" customFormat="1" hidden="1" x14ac:dyDescent="0.2">
      <c r="C3843" s="180"/>
    </row>
    <row r="3844" spans="3:3" s="181" customFormat="1" hidden="1" x14ac:dyDescent="0.2">
      <c r="C3844" s="180"/>
    </row>
    <row r="3845" spans="3:3" s="181" customFormat="1" hidden="1" x14ac:dyDescent="0.2">
      <c r="C3845" s="180"/>
    </row>
    <row r="3846" spans="3:3" s="181" customFormat="1" hidden="1" x14ac:dyDescent="0.2">
      <c r="C3846" s="180"/>
    </row>
    <row r="3847" spans="3:3" s="181" customFormat="1" hidden="1" x14ac:dyDescent="0.2">
      <c r="C3847" s="180"/>
    </row>
    <row r="3848" spans="3:3" s="181" customFormat="1" hidden="1" x14ac:dyDescent="0.2">
      <c r="C3848" s="180"/>
    </row>
    <row r="3849" spans="3:3" s="181" customFormat="1" hidden="1" x14ac:dyDescent="0.2">
      <c r="C3849" s="180"/>
    </row>
    <row r="3850" spans="3:3" s="181" customFormat="1" hidden="1" x14ac:dyDescent="0.2">
      <c r="C3850" s="180"/>
    </row>
    <row r="3851" spans="3:3" s="181" customFormat="1" hidden="1" x14ac:dyDescent="0.2">
      <c r="C3851" s="180"/>
    </row>
    <row r="3852" spans="3:3" s="181" customFormat="1" hidden="1" x14ac:dyDescent="0.2">
      <c r="C3852" s="180"/>
    </row>
    <row r="3853" spans="3:3" s="181" customFormat="1" hidden="1" x14ac:dyDescent="0.2">
      <c r="C3853" s="180"/>
    </row>
    <row r="3854" spans="3:3" s="181" customFormat="1" hidden="1" x14ac:dyDescent="0.2">
      <c r="C3854" s="180"/>
    </row>
    <row r="3855" spans="3:3" s="181" customFormat="1" hidden="1" x14ac:dyDescent="0.2">
      <c r="C3855" s="180"/>
    </row>
    <row r="3856" spans="3:3" s="181" customFormat="1" hidden="1" x14ac:dyDescent="0.2">
      <c r="C3856" s="180"/>
    </row>
    <row r="3857" spans="3:3" s="181" customFormat="1" hidden="1" x14ac:dyDescent="0.2">
      <c r="C3857" s="180"/>
    </row>
    <row r="3858" spans="3:3" s="181" customFormat="1" hidden="1" x14ac:dyDescent="0.2">
      <c r="C3858" s="180"/>
    </row>
    <row r="3859" spans="3:3" s="181" customFormat="1" hidden="1" x14ac:dyDescent="0.2">
      <c r="C3859" s="180"/>
    </row>
    <row r="3860" spans="3:3" s="181" customFormat="1" hidden="1" x14ac:dyDescent="0.2">
      <c r="C3860" s="180"/>
    </row>
    <row r="3861" spans="3:3" s="181" customFormat="1" hidden="1" x14ac:dyDescent="0.2">
      <c r="C3861" s="180"/>
    </row>
    <row r="3862" spans="3:3" s="181" customFormat="1" hidden="1" x14ac:dyDescent="0.2">
      <c r="C3862" s="180"/>
    </row>
    <row r="3863" spans="3:3" s="181" customFormat="1" hidden="1" x14ac:dyDescent="0.2">
      <c r="C3863" s="180"/>
    </row>
    <row r="3864" spans="3:3" s="181" customFormat="1" hidden="1" x14ac:dyDescent="0.2">
      <c r="C3864" s="180"/>
    </row>
    <row r="3865" spans="3:3" s="181" customFormat="1" hidden="1" x14ac:dyDescent="0.2">
      <c r="C3865" s="180"/>
    </row>
    <row r="3866" spans="3:3" s="181" customFormat="1" hidden="1" x14ac:dyDescent="0.2">
      <c r="C3866" s="180"/>
    </row>
    <row r="3867" spans="3:3" s="181" customFormat="1" hidden="1" x14ac:dyDescent="0.2">
      <c r="C3867" s="180"/>
    </row>
    <row r="3868" spans="3:3" s="181" customFormat="1" hidden="1" x14ac:dyDescent="0.2">
      <c r="C3868" s="180"/>
    </row>
    <row r="3869" spans="3:3" s="181" customFormat="1" hidden="1" x14ac:dyDescent="0.2">
      <c r="C3869" s="180"/>
    </row>
    <row r="3870" spans="3:3" s="181" customFormat="1" hidden="1" x14ac:dyDescent="0.2">
      <c r="C3870" s="180"/>
    </row>
    <row r="3871" spans="3:3" s="181" customFormat="1" hidden="1" x14ac:dyDescent="0.2">
      <c r="C3871" s="180"/>
    </row>
    <row r="3872" spans="3:3" s="181" customFormat="1" hidden="1" x14ac:dyDescent="0.2">
      <c r="C3872" s="180"/>
    </row>
    <row r="3873" spans="3:3" s="181" customFormat="1" hidden="1" x14ac:dyDescent="0.2">
      <c r="C3873" s="180"/>
    </row>
    <row r="3874" spans="3:3" s="181" customFormat="1" hidden="1" x14ac:dyDescent="0.2">
      <c r="C3874" s="180"/>
    </row>
    <row r="3875" spans="3:3" s="181" customFormat="1" hidden="1" x14ac:dyDescent="0.2">
      <c r="C3875" s="180"/>
    </row>
    <row r="3876" spans="3:3" s="181" customFormat="1" hidden="1" x14ac:dyDescent="0.2">
      <c r="C3876" s="180"/>
    </row>
    <row r="3877" spans="3:3" s="181" customFormat="1" hidden="1" x14ac:dyDescent="0.2">
      <c r="C3877" s="180"/>
    </row>
    <row r="3878" spans="3:3" s="181" customFormat="1" hidden="1" x14ac:dyDescent="0.2">
      <c r="C3878" s="180"/>
    </row>
    <row r="3879" spans="3:3" s="181" customFormat="1" hidden="1" x14ac:dyDescent="0.2">
      <c r="C3879" s="180"/>
    </row>
    <row r="3880" spans="3:3" s="181" customFormat="1" hidden="1" x14ac:dyDescent="0.2">
      <c r="C3880" s="180"/>
    </row>
    <row r="3881" spans="3:3" s="181" customFormat="1" hidden="1" x14ac:dyDescent="0.2">
      <c r="C3881" s="180"/>
    </row>
    <row r="3882" spans="3:3" s="181" customFormat="1" hidden="1" x14ac:dyDescent="0.2">
      <c r="C3882" s="180"/>
    </row>
    <row r="3883" spans="3:3" s="181" customFormat="1" hidden="1" x14ac:dyDescent="0.2">
      <c r="C3883" s="180"/>
    </row>
    <row r="3884" spans="3:3" s="181" customFormat="1" hidden="1" x14ac:dyDescent="0.2">
      <c r="C3884" s="180"/>
    </row>
    <row r="3885" spans="3:3" s="181" customFormat="1" hidden="1" x14ac:dyDescent="0.2">
      <c r="C3885" s="180"/>
    </row>
    <row r="3886" spans="3:3" s="181" customFormat="1" hidden="1" x14ac:dyDescent="0.2">
      <c r="C3886" s="180"/>
    </row>
    <row r="3887" spans="3:3" s="181" customFormat="1" hidden="1" x14ac:dyDescent="0.2">
      <c r="C3887" s="180"/>
    </row>
    <row r="3888" spans="3:3" s="181" customFormat="1" hidden="1" x14ac:dyDescent="0.2">
      <c r="C3888" s="180"/>
    </row>
    <row r="3889" spans="3:3" s="181" customFormat="1" hidden="1" x14ac:dyDescent="0.2">
      <c r="C3889" s="180"/>
    </row>
    <row r="3890" spans="3:3" s="181" customFormat="1" hidden="1" x14ac:dyDescent="0.2">
      <c r="C3890" s="180"/>
    </row>
    <row r="3891" spans="3:3" s="181" customFormat="1" hidden="1" x14ac:dyDescent="0.2">
      <c r="C3891" s="180"/>
    </row>
    <row r="3892" spans="3:3" s="181" customFormat="1" hidden="1" x14ac:dyDescent="0.2">
      <c r="C3892" s="180"/>
    </row>
    <row r="3893" spans="3:3" s="181" customFormat="1" hidden="1" x14ac:dyDescent="0.2">
      <c r="C3893" s="180"/>
    </row>
    <row r="3894" spans="3:3" s="181" customFormat="1" hidden="1" x14ac:dyDescent="0.2">
      <c r="C3894" s="180"/>
    </row>
    <row r="3895" spans="3:3" s="181" customFormat="1" hidden="1" x14ac:dyDescent="0.2">
      <c r="C3895" s="180"/>
    </row>
    <row r="3896" spans="3:3" s="181" customFormat="1" hidden="1" x14ac:dyDescent="0.2">
      <c r="C3896" s="180"/>
    </row>
    <row r="3897" spans="3:3" s="181" customFormat="1" hidden="1" x14ac:dyDescent="0.2">
      <c r="C3897" s="180"/>
    </row>
    <row r="3898" spans="3:3" s="181" customFormat="1" hidden="1" x14ac:dyDescent="0.2">
      <c r="C3898" s="180"/>
    </row>
    <row r="3899" spans="3:3" s="181" customFormat="1" hidden="1" x14ac:dyDescent="0.2">
      <c r="C3899" s="180"/>
    </row>
    <row r="3900" spans="3:3" s="181" customFormat="1" hidden="1" x14ac:dyDescent="0.2">
      <c r="C3900" s="180"/>
    </row>
    <row r="3901" spans="3:3" s="181" customFormat="1" hidden="1" x14ac:dyDescent="0.2">
      <c r="C3901" s="180"/>
    </row>
    <row r="3902" spans="3:3" s="181" customFormat="1" hidden="1" x14ac:dyDescent="0.2">
      <c r="C3902" s="180"/>
    </row>
    <row r="3903" spans="3:3" s="181" customFormat="1" hidden="1" x14ac:dyDescent="0.2">
      <c r="C3903" s="180"/>
    </row>
    <row r="3904" spans="3:3" s="181" customFormat="1" hidden="1" x14ac:dyDescent="0.2">
      <c r="C3904" s="180"/>
    </row>
    <row r="3905" spans="3:3" s="181" customFormat="1" hidden="1" x14ac:dyDescent="0.2">
      <c r="C3905" s="180"/>
    </row>
    <row r="3906" spans="3:3" s="181" customFormat="1" hidden="1" x14ac:dyDescent="0.2">
      <c r="C3906" s="180"/>
    </row>
    <row r="3907" spans="3:3" s="181" customFormat="1" hidden="1" x14ac:dyDescent="0.2">
      <c r="C3907" s="180"/>
    </row>
    <row r="3908" spans="3:3" s="181" customFormat="1" hidden="1" x14ac:dyDescent="0.2">
      <c r="C3908" s="180"/>
    </row>
    <row r="3909" spans="3:3" s="181" customFormat="1" hidden="1" x14ac:dyDescent="0.2">
      <c r="C3909" s="180"/>
    </row>
    <row r="3910" spans="3:3" s="181" customFormat="1" hidden="1" x14ac:dyDescent="0.2">
      <c r="C3910" s="180"/>
    </row>
    <row r="3911" spans="3:3" s="181" customFormat="1" hidden="1" x14ac:dyDescent="0.2">
      <c r="C3911" s="180"/>
    </row>
    <row r="3912" spans="3:3" s="181" customFormat="1" hidden="1" x14ac:dyDescent="0.2">
      <c r="C3912" s="180"/>
    </row>
    <row r="3913" spans="3:3" s="181" customFormat="1" hidden="1" x14ac:dyDescent="0.2">
      <c r="C3913" s="180"/>
    </row>
    <row r="3914" spans="3:3" s="181" customFormat="1" hidden="1" x14ac:dyDescent="0.2">
      <c r="C3914" s="180"/>
    </row>
    <row r="3915" spans="3:3" s="181" customFormat="1" hidden="1" x14ac:dyDescent="0.2">
      <c r="C3915" s="180"/>
    </row>
    <row r="3916" spans="3:3" s="181" customFormat="1" hidden="1" x14ac:dyDescent="0.2">
      <c r="C3916" s="180"/>
    </row>
    <row r="3917" spans="3:3" s="181" customFormat="1" hidden="1" x14ac:dyDescent="0.2">
      <c r="C3917" s="180"/>
    </row>
    <row r="3918" spans="3:3" s="181" customFormat="1" hidden="1" x14ac:dyDescent="0.2">
      <c r="C3918" s="180"/>
    </row>
    <row r="3919" spans="3:3" s="181" customFormat="1" hidden="1" x14ac:dyDescent="0.2">
      <c r="C3919" s="180"/>
    </row>
    <row r="3920" spans="3:3" s="181" customFormat="1" hidden="1" x14ac:dyDescent="0.2">
      <c r="C3920" s="180"/>
    </row>
    <row r="3921" spans="3:3" s="181" customFormat="1" hidden="1" x14ac:dyDescent="0.2">
      <c r="C3921" s="180"/>
    </row>
    <row r="3922" spans="3:3" s="181" customFormat="1" hidden="1" x14ac:dyDescent="0.2">
      <c r="C3922" s="180"/>
    </row>
    <row r="3923" spans="3:3" s="181" customFormat="1" hidden="1" x14ac:dyDescent="0.2">
      <c r="C3923" s="180"/>
    </row>
    <row r="3924" spans="3:3" s="181" customFormat="1" hidden="1" x14ac:dyDescent="0.2">
      <c r="C3924" s="180"/>
    </row>
    <row r="3925" spans="3:3" s="181" customFormat="1" hidden="1" x14ac:dyDescent="0.2">
      <c r="C3925" s="180"/>
    </row>
    <row r="3926" spans="3:3" s="181" customFormat="1" hidden="1" x14ac:dyDescent="0.2">
      <c r="C3926" s="180"/>
    </row>
    <row r="3927" spans="3:3" s="181" customFormat="1" hidden="1" x14ac:dyDescent="0.2">
      <c r="C3927" s="180"/>
    </row>
    <row r="3928" spans="3:3" s="181" customFormat="1" hidden="1" x14ac:dyDescent="0.2">
      <c r="C3928" s="180"/>
    </row>
    <row r="3929" spans="3:3" s="181" customFormat="1" hidden="1" x14ac:dyDescent="0.2">
      <c r="C3929" s="180"/>
    </row>
    <row r="3930" spans="3:3" s="181" customFormat="1" hidden="1" x14ac:dyDescent="0.2">
      <c r="C3930" s="180"/>
    </row>
    <row r="3931" spans="3:3" s="181" customFormat="1" hidden="1" x14ac:dyDescent="0.2">
      <c r="C3931" s="180"/>
    </row>
    <row r="3932" spans="3:3" s="181" customFormat="1" hidden="1" x14ac:dyDescent="0.2">
      <c r="C3932" s="180"/>
    </row>
    <row r="3933" spans="3:3" s="181" customFormat="1" hidden="1" x14ac:dyDescent="0.2">
      <c r="C3933" s="180"/>
    </row>
    <row r="3934" spans="3:3" s="181" customFormat="1" hidden="1" x14ac:dyDescent="0.2">
      <c r="C3934" s="180"/>
    </row>
    <row r="3935" spans="3:3" s="181" customFormat="1" hidden="1" x14ac:dyDescent="0.2">
      <c r="C3935" s="180"/>
    </row>
    <row r="3936" spans="3:3" s="181" customFormat="1" hidden="1" x14ac:dyDescent="0.2">
      <c r="C3936" s="180"/>
    </row>
    <row r="3937" spans="3:3" s="181" customFormat="1" hidden="1" x14ac:dyDescent="0.2">
      <c r="C3937" s="180"/>
    </row>
    <row r="3938" spans="3:3" s="181" customFormat="1" hidden="1" x14ac:dyDescent="0.2">
      <c r="C3938" s="180"/>
    </row>
    <row r="3939" spans="3:3" s="181" customFormat="1" hidden="1" x14ac:dyDescent="0.2">
      <c r="C3939" s="180"/>
    </row>
    <row r="3940" spans="3:3" s="181" customFormat="1" hidden="1" x14ac:dyDescent="0.2">
      <c r="C3940" s="180"/>
    </row>
    <row r="3941" spans="3:3" s="181" customFormat="1" hidden="1" x14ac:dyDescent="0.2">
      <c r="C3941" s="180"/>
    </row>
    <row r="3942" spans="3:3" s="181" customFormat="1" hidden="1" x14ac:dyDescent="0.2">
      <c r="C3942" s="180"/>
    </row>
    <row r="3943" spans="3:3" s="181" customFormat="1" hidden="1" x14ac:dyDescent="0.2">
      <c r="C3943" s="180"/>
    </row>
    <row r="3944" spans="3:3" s="181" customFormat="1" hidden="1" x14ac:dyDescent="0.2">
      <c r="C3944" s="180"/>
    </row>
    <row r="3945" spans="3:3" s="181" customFormat="1" hidden="1" x14ac:dyDescent="0.2">
      <c r="C3945" s="180"/>
    </row>
    <row r="3946" spans="3:3" s="181" customFormat="1" hidden="1" x14ac:dyDescent="0.2">
      <c r="C3946" s="180"/>
    </row>
    <row r="3947" spans="3:3" s="181" customFormat="1" hidden="1" x14ac:dyDescent="0.2">
      <c r="C3947" s="180"/>
    </row>
    <row r="3948" spans="3:3" s="181" customFormat="1" hidden="1" x14ac:dyDescent="0.2">
      <c r="C3948" s="180"/>
    </row>
    <row r="3949" spans="3:3" s="181" customFormat="1" hidden="1" x14ac:dyDescent="0.2">
      <c r="C3949" s="180"/>
    </row>
    <row r="3950" spans="3:3" s="181" customFormat="1" hidden="1" x14ac:dyDescent="0.2">
      <c r="C3950" s="180"/>
    </row>
    <row r="3951" spans="3:3" s="181" customFormat="1" hidden="1" x14ac:dyDescent="0.2">
      <c r="C3951" s="180"/>
    </row>
    <row r="3952" spans="3:3" s="181" customFormat="1" hidden="1" x14ac:dyDescent="0.2">
      <c r="C3952" s="180"/>
    </row>
    <row r="3953" spans="3:3" s="181" customFormat="1" hidden="1" x14ac:dyDescent="0.2">
      <c r="C3953" s="180"/>
    </row>
    <row r="3954" spans="3:3" s="181" customFormat="1" hidden="1" x14ac:dyDescent="0.2">
      <c r="C3954" s="180"/>
    </row>
    <row r="3955" spans="3:3" s="181" customFormat="1" hidden="1" x14ac:dyDescent="0.2">
      <c r="C3955" s="180"/>
    </row>
    <row r="3956" spans="3:3" s="181" customFormat="1" hidden="1" x14ac:dyDescent="0.2">
      <c r="C3956" s="180"/>
    </row>
    <row r="3957" spans="3:3" s="181" customFormat="1" hidden="1" x14ac:dyDescent="0.2">
      <c r="C3957" s="180"/>
    </row>
    <row r="3958" spans="3:3" s="181" customFormat="1" hidden="1" x14ac:dyDescent="0.2">
      <c r="C3958" s="180"/>
    </row>
    <row r="3959" spans="3:3" s="181" customFormat="1" hidden="1" x14ac:dyDescent="0.2">
      <c r="C3959" s="180"/>
    </row>
    <row r="3960" spans="3:3" s="181" customFormat="1" hidden="1" x14ac:dyDescent="0.2">
      <c r="C3960" s="180"/>
    </row>
    <row r="3961" spans="3:3" s="181" customFormat="1" hidden="1" x14ac:dyDescent="0.2">
      <c r="C3961" s="180"/>
    </row>
    <row r="3962" spans="3:3" s="181" customFormat="1" hidden="1" x14ac:dyDescent="0.2">
      <c r="C3962" s="180"/>
    </row>
    <row r="3963" spans="3:3" s="181" customFormat="1" hidden="1" x14ac:dyDescent="0.2">
      <c r="C3963" s="180"/>
    </row>
    <row r="3964" spans="3:3" s="181" customFormat="1" hidden="1" x14ac:dyDescent="0.2">
      <c r="C3964" s="180"/>
    </row>
    <row r="3965" spans="3:3" s="181" customFormat="1" hidden="1" x14ac:dyDescent="0.2">
      <c r="C3965" s="180"/>
    </row>
    <row r="3966" spans="3:3" s="181" customFormat="1" hidden="1" x14ac:dyDescent="0.2">
      <c r="C3966" s="180"/>
    </row>
    <row r="3967" spans="3:3" s="181" customFormat="1" hidden="1" x14ac:dyDescent="0.2">
      <c r="C3967" s="180"/>
    </row>
    <row r="3968" spans="3:3" s="181" customFormat="1" hidden="1" x14ac:dyDescent="0.2">
      <c r="C3968" s="180"/>
    </row>
    <row r="3969" spans="3:3" s="181" customFormat="1" hidden="1" x14ac:dyDescent="0.2">
      <c r="C3969" s="180"/>
    </row>
    <row r="3970" spans="3:3" s="181" customFormat="1" hidden="1" x14ac:dyDescent="0.2">
      <c r="C3970" s="180"/>
    </row>
    <row r="3971" spans="3:3" s="181" customFormat="1" hidden="1" x14ac:dyDescent="0.2">
      <c r="C3971" s="180"/>
    </row>
    <row r="3972" spans="3:3" s="181" customFormat="1" hidden="1" x14ac:dyDescent="0.2">
      <c r="C3972" s="180"/>
    </row>
    <row r="3973" spans="3:3" s="181" customFormat="1" hidden="1" x14ac:dyDescent="0.2">
      <c r="C3973" s="180"/>
    </row>
    <row r="3974" spans="3:3" s="181" customFormat="1" hidden="1" x14ac:dyDescent="0.2">
      <c r="C3974" s="180"/>
    </row>
    <row r="3975" spans="3:3" s="181" customFormat="1" hidden="1" x14ac:dyDescent="0.2">
      <c r="C3975" s="180"/>
    </row>
    <row r="3976" spans="3:3" s="181" customFormat="1" hidden="1" x14ac:dyDescent="0.2">
      <c r="C3976" s="180"/>
    </row>
    <row r="3977" spans="3:3" s="181" customFormat="1" hidden="1" x14ac:dyDescent="0.2">
      <c r="C3977" s="180"/>
    </row>
    <row r="3978" spans="3:3" s="181" customFormat="1" hidden="1" x14ac:dyDescent="0.2">
      <c r="C3978" s="180"/>
    </row>
    <row r="3979" spans="3:3" s="181" customFormat="1" hidden="1" x14ac:dyDescent="0.2">
      <c r="C3979" s="180"/>
    </row>
    <row r="3980" spans="3:3" s="181" customFormat="1" hidden="1" x14ac:dyDescent="0.2">
      <c r="C3980" s="180"/>
    </row>
    <row r="3981" spans="3:3" s="181" customFormat="1" hidden="1" x14ac:dyDescent="0.2">
      <c r="C3981" s="180"/>
    </row>
    <row r="3982" spans="3:3" s="181" customFormat="1" hidden="1" x14ac:dyDescent="0.2">
      <c r="C3982" s="180"/>
    </row>
    <row r="3983" spans="3:3" s="181" customFormat="1" hidden="1" x14ac:dyDescent="0.2">
      <c r="C3983" s="180"/>
    </row>
    <row r="3984" spans="3:3" s="181" customFormat="1" hidden="1" x14ac:dyDescent="0.2">
      <c r="C3984" s="180"/>
    </row>
    <row r="3985" spans="3:3" s="181" customFormat="1" hidden="1" x14ac:dyDescent="0.2">
      <c r="C3985" s="180"/>
    </row>
    <row r="3986" spans="3:3" s="181" customFormat="1" hidden="1" x14ac:dyDescent="0.2">
      <c r="C3986" s="180"/>
    </row>
    <row r="3987" spans="3:3" s="181" customFormat="1" hidden="1" x14ac:dyDescent="0.2">
      <c r="C3987" s="180"/>
    </row>
    <row r="3988" spans="3:3" s="181" customFormat="1" hidden="1" x14ac:dyDescent="0.2">
      <c r="C3988" s="180"/>
    </row>
    <row r="3989" spans="3:3" s="181" customFormat="1" hidden="1" x14ac:dyDescent="0.2">
      <c r="C3989" s="180"/>
    </row>
    <row r="3990" spans="3:3" s="181" customFormat="1" hidden="1" x14ac:dyDescent="0.2">
      <c r="C3990" s="180"/>
    </row>
    <row r="3991" spans="3:3" s="181" customFormat="1" hidden="1" x14ac:dyDescent="0.2">
      <c r="C3991" s="180"/>
    </row>
    <row r="3992" spans="3:3" s="181" customFormat="1" hidden="1" x14ac:dyDescent="0.2">
      <c r="C3992" s="180"/>
    </row>
    <row r="3993" spans="3:3" s="181" customFormat="1" hidden="1" x14ac:dyDescent="0.2">
      <c r="C3993" s="180"/>
    </row>
    <row r="3994" spans="3:3" s="181" customFormat="1" hidden="1" x14ac:dyDescent="0.2">
      <c r="C3994" s="180"/>
    </row>
    <row r="3995" spans="3:3" s="181" customFormat="1" hidden="1" x14ac:dyDescent="0.2">
      <c r="C3995" s="180"/>
    </row>
    <row r="3996" spans="3:3" s="181" customFormat="1" hidden="1" x14ac:dyDescent="0.2">
      <c r="C3996" s="180"/>
    </row>
    <row r="3997" spans="3:3" s="181" customFormat="1" hidden="1" x14ac:dyDescent="0.2">
      <c r="C3997" s="180"/>
    </row>
    <row r="3998" spans="3:3" s="181" customFormat="1" hidden="1" x14ac:dyDescent="0.2">
      <c r="C3998" s="180"/>
    </row>
    <row r="3999" spans="3:3" s="181" customFormat="1" hidden="1" x14ac:dyDescent="0.2">
      <c r="C3999" s="180"/>
    </row>
    <row r="4000" spans="3:3" s="181" customFormat="1" hidden="1" x14ac:dyDescent="0.2">
      <c r="C4000" s="180"/>
    </row>
    <row r="4001" spans="3:3" s="181" customFormat="1" hidden="1" x14ac:dyDescent="0.2">
      <c r="C4001" s="180"/>
    </row>
    <row r="4002" spans="3:3" s="181" customFormat="1" hidden="1" x14ac:dyDescent="0.2">
      <c r="C4002" s="180"/>
    </row>
    <row r="4003" spans="3:3" s="181" customFormat="1" hidden="1" x14ac:dyDescent="0.2">
      <c r="C4003" s="180"/>
    </row>
    <row r="4004" spans="3:3" s="181" customFormat="1" hidden="1" x14ac:dyDescent="0.2">
      <c r="C4004" s="180"/>
    </row>
    <row r="4005" spans="3:3" s="181" customFormat="1" hidden="1" x14ac:dyDescent="0.2">
      <c r="C4005" s="180"/>
    </row>
    <row r="4006" spans="3:3" s="181" customFormat="1" hidden="1" x14ac:dyDescent="0.2">
      <c r="C4006" s="180"/>
    </row>
    <row r="4007" spans="3:3" s="181" customFormat="1" hidden="1" x14ac:dyDescent="0.2">
      <c r="C4007" s="180"/>
    </row>
    <row r="4008" spans="3:3" s="181" customFormat="1" hidden="1" x14ac:dyDescent="0.2">
      <c r="C4008" s="180"/>
    </row>
    <row r="4009" spans="3:3" s="181" customFormat="1" hidden="1" x14ac:dyDescent="0.2">
      <c r="C4009" s="180"/>
    </row>
    <row r="4010" spans="3:3" s="181" customFormat="1" hidden="1" x14ac:dyDescent="0.2">
      <c r="C4010" s="180"/>
    </row>
    <row r="4011" spans="3:3" s="181" customFormat="1" hidden="1" x14ac:dyDescent="0.2">
      <c r="C4011" s="180"/>
    </row>
    <row r="4012" spans="3:3" s="181" customFormat="1" hidden="1" x14ac:dyDescent="0.2">
      <c r="C4012" s="180"/>
    </row>
    <row r="4013" spans="3:3" s="181" customFormat="1" hidden="1" x14ac:dyDescent="0.2">
      <c r="C4013" s="180"/>
    </row>
    <row r="4014" spans="3:3" s="181" customFormat="1" hidden="1" x14ac:dyDescent="0.2">
      <c r="C4014" s="180"/>
    </row>
    <row r="4015" spans="3:3" s="181" customFormat="1" hidden="1" x14ac:dyDescent="0.2">
      <c r="C4015" s="180"/>
    </row>
    <row r="4016" spans="3:3" s="181" customFormat="1" hidden="1" x14ac:dyDescent="0.2">
      <c r="C4016" s="180"/>
    </row>
    <row r="4017" spans="3:3" s="181" customFormat="1" hidden="1" x14ac:dyDescent="0.2">
      <c r="C4017" s="180"/>
    </row>
    <row r="4018" spans="3:3" s="181" customFormat="1" hidden="1" x14ac:dyDescent="0.2">
      <c r="C4018" s="180"/>
    </row>
    <row r="4019" spans="3:3" s="181" customFormat="1" hidden="1" x14ac:dyDescent="0.2">
      <c r="C4019" s="180"/>
    </row>
    <row r="4020" spans="3:3" s="181" customFormat="1" hidden="1" x14ac:dyDescent="0.2">
      <c r="C4020" s="180"/>
    </row>
    <row r="4021" spans="3:3" s="181" customFormat="1" hidden="1" x14ac:dyDescent="0.2">
      <c r="C4021" s="180"/>
    </row>
    <row r="4022" spans="3:3" s="181" customFormat="1" hidden="1" x14ac:dyDescent="0.2">
      <c r="C4022" s="180"/>
    </row>
    <row r="4023" spans="3:3" s="181" customFormat="1" hidden="1" x14ac:dyDescent="0.2">
      <c r="C4023" s="180"/>
    </row>
    <row r="4024" spans="3:3" s="181" customFormat="1" hidden="1" x14ac:dyDescent="0.2">
      <c r="C4024" s="180"/>
    </row>
    <row r="4025" spans="3:3" s="181" customFormat="1" hidden="1" x14ac:dyDescent="0.2">
      <c r="C4025" s="180"/>
    </row>
    <row r="4026" spans="3:3" s="181" customFormat="1" hidden="1" x14ac:dyDescent="0.2">
      <c r="C4026" s="180"/>
    </row>
    <row r="4027" spans="3:3" s="181" customFormat="1" hidden="1" x14ac:dyDescent="0.2">
      <c r="C4027" s="180"/>
    </row>
    <row r="4028" spans="3:3" s="181" customFormat="1" hidden="1" x14ac:dyDescent="0.2">
      <c r="C4028" s="180"/>
    </row>
    <row r="4029" spans="3:3" s="181" customFormat="1" hidden="1" x14ac:dyDescent="0.2">
      <c r="C4029" s="180"/>
    </row>
    <row r="4030" spans="3:3" s="181" customFormat="1" hidden="1" x14ac:dyDescent="0.2">
      <c r="C4030" s="180"/>
    </row>
    <row r="4031" spans="3:3" s="181" customFormat="1" hidden="1" x14ac:dyDescent="0.2">
      <c r="C4031" s="180"/>
    </row>
    <row r="4032" spans="3:3" s="181" customFormat="1" hidden="1" x14ac:dyDescent="0.2">
      <c r="C4032" s="180"/>
    </row>
    <row r="4033" spans="3:3" s="181" customFormat="1" hidden="1" x14ac:dyDescent="0.2">
      <c r="C4033" s="180"/>
    </row>
    <row r="4034" spans="3:3" s="181" customFormat="1" hidden="1" x14ac:dyDescent="0.2">
      <c r="C4034" s="180"/>
    </row>
    <row r="4035" spans="3:3" s="181" customFormat="1" hidden="1" x14ac:dyDescent="0.2">
      <c r="C4035" s="180"/>
    </row>
    <row r="4036" spans="3:3" s="181" customFormat="1" hidden="1" x14ac:dyDescent="0.2">
      <c r="C4036" s="180"/>
    </row>
    <row r="4037" spans="3:3" s="181" customFormat="1" hidden="1" x14ac:dyDescent="0.2">
      <c r="C4037" s="180"/>
    </row>
    <row r="4038" spans="3:3" s="181" customFormat="1" hidden="1" x14ac:dyDescent="0.2">
      <c r="C4038" s="180"/>
    </row>
    <row r="4039" spans="3:3" s="181" customFormat="1" hidden="1" x14ac:dyDescent="0.2">
      <c r="C4039" s="180"/>
    </row>
    <row r="4040" spans="3:3" s="181" customFormat="1" hidden="1" x14ac:dyDescent="0.2">
      <c r="C4040" s="180"/>
    </row>
    <row r="4041" spans="3:3" s="181" customFormat="1" hidden="1" x14ac:dyDescent="0.2">
      <c r="C4041" s="180"/>
    </row>
    <row r="4042" spans="3:3" s="181" customFormat="1" hidden="1" x14ac:dyDescent="0.2">
      <c r="C4042" s="180"/>
    </row>
    <row r="4043" spans="3:3" s="181" customFormat="1" hidden="1" x14ac:dyDescent="0.2">
      <c r="C4043" s="180"/>
    </row>
    <row r="4044" spans="3:3" s="181" customFormat="1" hidden="1" x14ac:dyDescent="0.2">
      <c r="C4044" s="180"/>
    </row>
    <row r="4045" spans="3:3" s="181" customFormat="1" hidden="1" x14ac:dyDescent="0.2">
      <c r="C4045" s="180"/>
    </row>
    <row r="4046" spans="3:3" s="181" customFormat="1" hidden="1" x14ac:dyDescent="0.2">
      <c r="C4046" s="180"/>
    </row>
    <row r="4047" spans="3:3" s="181" customFormat="1" hidden="1" x14ac:dyDescent="0.2">
      <c r="C4047" s="180"/>
    </row>
    <row r="4048" spans="3:3" s="181" customFormat="1" hidden="1" x14ac:dyDescent="0.2">
      <c r="C4048" s="180"/>
    </row>
    <row r="4049" spans="3:3" s="181" customFormat="1" hidden="1" x14ac:dyDescent="0.2">
      <c r="C4049" s="180"/>
    </row>
    <row r="4050" spans="3:3" s="181" customFormat="1" hidden="1" x14ac:dyDescent="0.2">
      <c r="C4050" s="180"/>
    </row>
    <row r="4051" spans="3:3" s="181" customFormat="1" hidden="1" x14ac:dyDescent="0.2">
      <c r="C4051" s="180"/>
    </row>
    <row r="4052" spans="3:3" s="181" customFormat="1" hidden="1" x14ac:dyDescent="0.2">
      <c r="C4052" s="180"/>
    </row>
    <row r="4053" spans="3:3" s="181" customFormat="1" hidden="1" x14ac:dyDescent="0.2">
      <c r="C4053" s="180"/>
    </row>
    <row r="4054" spans="3:3" s="181" customFormat="1" hidden="1" x14ac:dyDescent="0.2">
      <c r="C4054" s="180"/>
    </row>
    <row r="4055" spans="3:3" s="181" customFormat="1" hidden="1" x14ac:dyDescent="0.2">
      <c r="C4055" s="180"/>
    </row>
    <row r="4056" spans="3:3" s="181" customFormat="1" hidden="1" x14ac:dyDescent="0.2">
      <c r="C4056" s="180"/>
    </row>
    <row r="4057" spans="3:3" s="181" customFormat="1" hidden="1" x14ac:dyDescent="0.2">
      <c r="C4057" s="180"/>
    </row>
    <row r="4058" spans="3:3" s="181" customFormat="1" hidden="1" x14ac:dyDescent="0.2">
      <c r="C4058" s="180"/>
    </row>
    <row r="4059" spans="3:3" s="181" customFormat="1" hidden="1" x14ac:dyDescent="0.2">
      <c r="C4059" s="180"/>
    </row>
    <row r="4060" spans="3:3" s="181" customFormat="1" hidden="1" x14ac:dyDescent="0.2">
      <c r="C4060" s="180"/>
    </row>
    <row r="4061" spans="3:3" s="181" customFormat="1" hidden="1" x14ac:dyDescent="0.2">
      <c r="C4061" s="180"/>
    </row>
    <row r="4062" spans="3:3" s="181" customFormat="1" hidden="1" x14ac:dyDescent="0.2">
      <c r="C4062" s="180"/>
    </row>
    <row r="4063" spans="3:3" s="181" customFormat="1" hidden="1" x14ac:dyDescent="0.2">
      <c r="C4063" s="180"/>
    </row>
    <row r="4064" spans="3:3" s="181" customFormat="1" hidden="1" x14ac:dyDescent="0.2">
      <c r="C4064" s="180"/>
    </row>
    <row r="4065" spans="3:3" s="181" customFormat="1" hidden="1" x14ac:dyDescent="0.2">
      <c r="C4065" s="180"/>
    </row>
    <row r="4066" spans="3:3" s="181" customFormat="1" hidden="1" x14ac:dyDescent="0.2">
      <c r="C4066" s="180"/>
    </row>
    <row r="4067" spans="3:3" s="181" customFormat="1" hidden="1" x14ac:dyDescent="0.2">
      <c r="C4067" s="180"/>
    </row>
    <row r="4068" spans="3:3" s="181" customFormat="1" hidden="1" x14ac:dyDescent="0.2">
      <c r="C4068" s="180"/>
    </row>
    <row r="4069" spans="3:3" s="181" customFormat="1" hidden="1" x14ac:dyDescent="0.2">
      <c r="C4069" s="180"/>
    </row>
    <row r="4070" spans="3:3" s="181" customFormat="1" hidden="1" x14ac:dyDescent="0.2">
      <c r="C4070" s="180"/>
    </row>
    <row r="4071" spans="3:3" s="181" customFormat="1" hidden="1" x14ac:dyDescent="0.2">
      <c r="C4071" s="180"/>
    </row>
    <row r="4072" spans="3:3" s="181" customFormat="1" hidden="1" x14ac:dyDescent="0.2">
      <c r="C4072" s="180"/>
    </row>
    <row r="4073" spans="3:3" s="181" customFormat="1" hidden="1" x14ac:dyDescent="0.2">
      <c r="C4073" s="180"/>
    </row>
    <row r="4074" spans="3:3" s="181" customFormat="1" hidden="1" x14ac:dyDescent="0.2">
      <c r="C4074" s="180"/>
    </row>
    <row r="4075" spans="3:3" s="181" customFormat="1" hidden="1" x14ac:dyDescent="0.2">
      <c r="C4075" s="180"/>
    </row>
    <row r="4076" spans="3:3" s="181" customFormat="1" hidden="1" x14ac:dyDescent="0.2">
      <c r="C4076" s="180"/>
    </row>
    <row r="4077" spans="3:3" s="181" customFormat="1" hidden="1" x14ac:dyDescent="0.2">
      <c r="C4077" s="180"/>
    </row>
    <row r="4078" spans="3:3" s="181" customFormat="1" hidden="1" x14ac:dyDescent="0.2">
      <c r="C4078" s="180"/>
    </row>
    <row r="4079" spans="3:3" s="181" customFormat="1" hidden="1" x14ac:dyDescent="0.2">
      <c r="C4079" s="180"/>
    </row>
    <row r="4080" spans="3:3" s="181" customFormat="1" hidden="1" x14ac:dyDescent="0.2">
      <c r="C4080" s="180"/>
    </row>
    <row r="4081" spans="3:3" s="181" customFormat="1" hidden="1" x14ac:dyDescent="0.2">
      <c r="C4081" s="180"/>
    </row>
    <row r="4082" spans="3:3" s="181" customFormat="1" hidden="1" x14ac:dyDescent="0.2">
      <c r="C4082" s="180"/>
    </row>
    <row r="4083" spans="3:3" s="181" customFormat="1" hidden="1" x14ac:dyDescent="0.2">
      <c r="C4083" s="180"/>
    </row>
    <row r="4084" spans="3:3" s="181" customFormat="1" hidden="1" x14ac:dyDescent="0.2">
      <c r="C4084" s="180"/>
    </row>
    <row r="4085" spans="3:3" s="181" customFormat="1" hidden="1" x14ac:dyDescent="0.2">
      <c r="C4085" s="180"/>
    </row>
    <row r="4086" spans="3:3" s="181" customFormat="1" hidden="1" x14ac:dyDescent="0.2">
      <c r="C4086" s="180"/>
    </row>
    <row r="4087" spans="3:3" s="181" customFormat="1" hidden="1" x14ac:dyDescent="0.2">
      <c r="C4087" s="180"/>
    </row>
    <row r="4088" spans="3:3" s="181" customFormat="1" hidden="1" x14ac:dyDescent="0.2">
      <c r="C4088" s="180"/>
    </row>
    <row r="4089" spans="3:3" s="181" customFormat="1" hidden="1" x14ac:dyDescent="0.2">
      <c r="C4089" s="180"/>
    </row>
    <row r="4090" spans="3:3" s="181" customFormat="1" hidden="1" x14ac:dyDescent="0.2">
      <c r="C4090" s="180"/>
    </row>
    <row r="4091" spans="3:3" s="181" customFormat="1" hidden="1" x14ac:dyDescent="0.2">
      <c r="C4091" s="180"/>
    </row>
    <row r="4092" spans="3:3" s="181" customFormat="1" hidden="1" x14ac:dyDescent="0.2">
      <c r="C4092" s="180"/>
    </row>
    <row r="4093" spans="3:3" s="181" customFormat="1" hidden="1" x14ac:dyDescent="0.2">
      <c r="C4093" s="180"/>
    </row>
    <row r="4094" spans="3:3" s="181" customFormat="1" hidden="1" x14ac:dyDescent="0.2">
      <c r="C4094" s="180"/>
    </row>
    <row r="4095" spans="3:3" s="181" customFormat="1" hidden="1" x14ac:dyDescent="0.2">
      <c r="C4095" s="180"/>
    </row>
    <row r="4096" spans="3:3" s="181" customFormat="1" hidden="1" x14ac:dyDescent="0.2">
      <c r="C4096" s="180"/>
    </row>
    <row r="4097" spans="3:3" s="181" customFormat="1" hidden="1" x14ac:dyDescent="0.2">
      <c r="C4097" s="180"/>
    </row>
    <row r="4098" spans="3:3" s="181" customFormat="1" hidden="1" x14ac:dyDescent="0.2">
      <c r="C4098" s="180"/>
    </row>
    <row r="4099" spans="3:3" s="181" customFormat="1" hidden="1" x14ac:dyDescent="0.2">
      <c r="C4099" s="180"/>
    </row>
    <row r="4100" spans="3:3" s="181" customFormat="1" hidden="1" x14ac:dyDescent="0.2">
      <c r="C4100" s="180"/>
    </row>
    <row r="4101" spans="3:3" s="181" customFormat="1" hidden="1" x14ac:dyDescent="0.2">
      <c r="C4101" s="180"/>
    </row>
    <row r="4102" spans="3:3" s="181" customFormat="1" hidden="1" x14ac:dyDescent="0.2">
      <c r="C4102" s="180"/>
    </row>
    <row r="4103" spans="3:3" s="181" customFormat="1" hidden="1" x14ac:dyDescent="0.2">
      <c r="C4103" s="180"/>
    </row>
    <row r="4104" spans="3:3" s="181" customFormat="1" hidden="1" x14ac:dyDescent="0.2">
      <c r="C4104" s="180"/>
    </row>
    <row r="4105" spans="3:3" s="181" customFormat="1" hidden="1" x14ac:dyDescent="0.2">
      <c r="C4105" s="180"/>
    </row>
    <row r="4106" spans="3:3" s="181" customFormat="1" hidden="1" x14ac:dyDescent="0.2">
      <c r="C4106" s="180"/>
    </row>
    <row r="4107" spans="3:3" s="181" customFormat="1" hidden="1" x14ac:dyDescent="0.2">
      <c r="C4107" s="180"/>
    </row>
    <row r="4108" spans="3:3" s="181" customFormat="1" hidden="1" x14ac:dyDescent="0.2">
      <c r="C4108" s="180"/>
    </row>
    <row r="4109" spans="3:3" s="181" customFormat="1" hidden="1" x14ac:dyDescent="0.2">
      <c r="C4109" s="180"/>
    </row>
    <row r="4110" spans="3:3" s="181" customFormat="1" hidden="1" x14ac:dyDescent="0.2">
      <c r="C4110" s="180"/>
    </row>
    <row r="4111" spans="3:3" s="181" customFormat="1" hidden="1" x14ac:dyDescent="0.2">
      <c r="C4111" s="180"/>
    </row>
    <row r="4112" spans="3:3" s="181" customFormat="1" hidden="1" x14ac:dyDescent="0.2">
      <c r="C4112" s="180"/>
    </row>
    <row r="4113" spans="3:3" s="181" customFormat="1" hidden="1" x14ac:dyDescent="0.2">
      <c r="C4113" s="180"/>
    </row>
    <row r="4114" spans="3:3" s="181" customFormat="1" hidden="1" x14ac:dyDescent="0.2">
      <c r="C4114" s="180"/>
    </row>
    <row r="4115" spans="3:3" s="181" customFormat="1" hidden="1" x14ac:dyDescent="0.2">
      <c r="C4115" s="180"/>
    </row>
    <row r="4116" spans="3:3" s="181" customFormat="1" hidden="1" x14ac:dyDescent="0.2">
      <c r="C4116" s="180"/>
    </row>
    <row r="4117" spans="3:3" s="181" customFormat="1" hidden="1" x14ac:dyDescent="0.2">
      <c r="C4117" s="180"/>
    </row>
    <row r="4118" spans="3:3" s="181" customFormat="1" hidden="1" x14ac:dyDescent="0.2">
      <c r="C4118" s="180"/>
    </row>
    <row r="4119" spans="3:3" s="181" customFormat="1" hidden="1" x14ac:dyDescent="0.2">
      <c r="C4119" s="180"/>
    </row>
    <row r="4120" spans="3:3" s="181" customFormat="1" hidden="1" x14ac:dyDescent="0.2">
      <c r="C4120" s="180"/>
    </row>
    <row r="4121" spans="3:3" s="181" customFormat="1" hidden="1" x14ac:dyDescent="0.2">
      <c r="C4121" s="180"/>
    </row>
    <row r="4122" spans="3:3" s="181" customFormat="1" hidden="1" x14ac:dyDescent="0.2">
      <c r="C4122" s="180"/>
    </row>
    <row r="4123" spans="3:3" s="181" customFormat="1" hidden="1" x14ac:dyDescent="0.2">
      <c r="C4123" s="180"/>
    </row>
    <row r="4124" spans="3:3" s="181" customFormat="1" hidden="1" x14ac:dyDescent="0.2">
      <c r="C4124" s="180"/>
    </row>
    <row r="4125" spans="3:3" s="181" customFormat="1" hidden="1" x14ac:dyDescent="0.2">
      <c r="C4125" s="180"/>
    </row>
    <row r="4126" spans="3:3" s="181" customFormat="1" hidden="1" x14ac:dyDescent="0.2">
      <c r="C4126" s="180"/>
    </row>
    <row r="4127" spans="3:3" s="181" customFormat="1" hidden="1" x14ac:dyDescent="0.2">
      <c r="C4127" s="180"/>
    </row>
    <row r="4128" spans="3:3" s="181" customFormat="1" hidden="1" x14ac:dyDescent="0.2">
      <c r="C4128" s="180"/>
    </row>
    <row r="4129" spans="3:3" s="181" customFormat="1" hidden="1" x14ac:dyDescent="0.2">
      <c r="C4129" s="180"/>
    </row>
    <row r="4130" spans="3:3" s="181" customFormat="1" hidden="1" x14ac:dyDescent="0.2">
      <c r="C4130" s="180"/>
    </row>
    <row r="4131" spans="3:3" s="181" customFormat="1" hidden="1" x14ac:dyDescent="0.2">
      <c r="C4131" s="180"/>
    </row>
    <row r="4132" spans="3:3" s="181" customFormat="1" hidden="1" x14ac:dyDescent="0.2">
      <c r="C4132" s="180"/>
    </row>
    <row r="4133" spans="3:3" s="181" customFormat="1" hidden="1" x14ac:dyDescent="0.2">
      <c r="C4133" s="180"/>
    </row>
    <row r="4134" spans="3:3" s="181" customFormat="1" hidden="1" x14ac:dyDescent="0.2">
      <c r="C4134" s="180"/>
    </row>
    <row r="4135" spans="3:3" s="181" customFormat="1" hidden="1" x14ac:dyDescent="0.2">
      <c r="C4135" s="180"/>
    </row>
    <row r="4136" spans="3:3" s="181" customFormat="1" hidden="1" x14ac:dyDescent="0.2">
      <c r="C4136" s="180"/>
    </row>
    <row r="4137" spans="3:3" s="181" customFormat="1" hidden="1" x14ac:dyDescent="0.2">
      <c r="C4137" s="180"/>
    </row>
    <row r="4138" spans="3:3" s="181" customFormat="1" hidden="1" x14ac:dyDescent="0.2">
      <c r="C4138" s="180"/>
    </row>
    <row r="4139" spans="3:3" s="181" customFormat="1" hidden="1" x14ac:dyDescent="0.2">
      <c r="C4139" s="180"/>
    </row>
    <row r="4140" spans="3:3" s="181" customFormat="1" hidden="1" x14ac:dyDescent="0.2">
      <c r="C4140" s="180"/>
    </row>
    <row r="4141" spans="3:3" s="181" customFormat="1" hidden="1" x14ac:dyDescent="0.2">
      <c r="C4141" s="180"/>
    </row>
    <row r="4142" spans="3:3" s="181" customFormat="1" hidden="1" x14ac:dyDescent="0.2">
      <c r="C4142" s="180"/>
    </row>
    <row r="4143" spans="3:3" s="181" customFormat="1" hidden="1" x14ac:dyDescent="0.2">
      <c r="C4143" s="180"/>
    </row>
    <row r="4144" spans="3:3" s="181" customFormat="1" hidden="1" x14ac:dyDescent="0.2">
      <c r="C4144" s="180"/>
    </row>
    <row r="4145" spans="3:3" s="181" customFormat="1" hidden="1" x14ac:dyDescent="0.2">
      <c r="C4145" s="180"/>
    </row>
    <row r="4146" spans="3:3" s="181" customFormat="1" hidden="1" x14ac:dyDescent="0.2">
      <c r="C4146" s="180"/>
    </row>
    <row r="4147" spans="3:3" s="181" customFormat="1" hidden="1" x14ac:dyDescent="0.2">
      <c r="C4147" s="180"/>
    </row>
    <row r="4148" spans="3:3" s="181" customFormat="1" hidden="1" x14ac:dyDescent="0.2">
      <c r="C4148" s="180"/>
    </row>
    <row r="4149" spans="3:3" s="181" customFormat="1" hidden="1" x14ac:dyDescent="0.2">
      <c r="C4149" s="180"/>
    </row>
    <row r="4150" spans="3:3" s="181" customFormat="1" hidden="1" x14ac:dyDescent="0.2">
      <c r="C4150" s="180"/>
    </row>
    <row r="4151" spans="3:3" s="181" customFormat="1" hidden="1" x14ac:dyDescent="0.2">
      <c r="C4151" s="180"/>
    </row>
    <row r="4152" spans="3:3" s="181" customFormat="1" hidden="1" x14ac:dyDescent="0.2">
      <c r="C4152" s="180"/>
    </row>
    <row r="4153" spans="3:3" s="181" customFormat="1" hidden="1" x14ac:dyDescent="0.2">
      <c r="C4153" s="180"/>
    </row>
    <row r="4154" spans="3:3" s="181" customFormat="1" hidden="1" x14ac:dyDescent="0.2">
      <c r="C4154" s="180"/>
    </row>
    <row r="4155" spans="3:3" s="181" customFormat="1" hidden="1" x14ac:dyDescent="0.2">
      <c r="C4155" s="180"/>
    </row>
    <row r="4156" spans="3:3" s="181" customFormat="1" hidden="1" x14ac:dyDescent="0.2">
      <c r="C4156" s="180"/>
    </row>
    <row r="4157" spans="3:3" s="181" customFormat="1" hidden="1" x14ac:dyDescent="0.2">
      <c r="C4157" s="180"/>
    </row>
    <row r="4158" spans="3:3" s="181" customFormat="1" hidden="1" x14ac:dyDescent="0.2">
      <c r="C4158" s="180"/>
    </row>
    <row r="4159" spans="3:3" s="181" customFormat="1" hidden="1" x14ac:dyDescent="0.2">
      <c r="C4159" s="180"/>
    </row>
    <row r="4160" spans="3:3" s="181" customFormat="1" hidden="1" x14ac:dyDescent="0.2">
      <c r="C4160" s="180"/>
    </row>
    <row r="4161" spans="3:3" s="181" customFormat="1" hidden="1" x14ac:dyDescent="0.2">
      <c r="C4161" s="180"/>
    </row>
    <row r="4162" spans="3:3" s="181" customFormat="1" hidden="1" x14ac:dyDescent="0.2">
      <c r="C4162" s="180"/>
    </row>
    <row r="4163" spans="3:3" s="181" customFormat="1" hidden="1" x14ac:dyDescent="0.2">
      <c r="C4163" s="180"/>
    </row>
    <row r="4164" spans="3:3" s="181" customFormat="1" hidden="1" x14ac:dyDescent="0.2">
      <c r="C4164" s="180"/>
    </row>
    <row r="4165" spans="3:3" s="181" customFormat="1" hidden="1" x14ac:dyDescent="0.2">
      <c r="C4165" s="180"/>
    </row>
    <row r="4166" spans="3:3" s="181" customFormat="1" hidden="1" x14ac:dyDescent="0.2">
      <c r="C4166" s="180"/>
    </row>
    <row r="4167" spans="3:3" s="181" customFormat="1" hidden="1" x14ac:dyDescent="0.2">
      <c r="C4167" s="180"/>
    </row>
    <row r="4168" spans="3:3" s="181" customFormat="1" hidden="1" x14ac:dyDescent="0.2">
      <c r="C4168" s="180"/>
    </row>
    <row r="4169" spans="3:3" s="181" customFormat="1" hidden="1" x14ac:dyDescent="0.2">
      <c r="C4169" s="180"/>
    </row>
    <row r="4170" spans="3:3" s="181" customFormat="1" hidden="1" x14ac:dyDescent="0.2">
      <c r="C4170" s="180"/>
    </row>
    <row r="4171" spans="3:3" s="181" customFormat="1" hidden="1" x14ac:dyDescent="0.2">
      <c r="C4171" s="180"/>
    </row>
    <row r="4172" spans="3:3" s="181" customFormat="1" hidden="1" x14ac:dyDescent="0.2">
      <c r="C4172" s="180"/>
    </row>
    <row r="4173" spans="3:3" s="181" customFormat="1" hidden="1" x14ac:dyDescent="0.2">
      <c r="C4173" s="180"/>
    </row>
    <row r="4174" spans="3:3" s="181" customFormat="1" hidden="1" x14ac:dyDescent="0.2">
      <c r="C4174" s="180"/>
    </row>
    <row r="4175" spans="3:3" s="181" customFormat="1" hidden="1" x14ac:dyDescent="0.2">
      <c r="C4175" s="180"/>
    </row>
    <row r="4176" spans="3:3" s="181" customFormat="1" hidden="1" x14ac:dyDescent="0.2">
      <c r="C4176" s="180"/>
    </row>
    <row r="4177" spans="3:3" s="181" customFormat="1" hidden="1" x14ac:dyDescent="0.2">
      <c r="C4177" s="180"/>
    </row>
    <row r="4178" spans="3:3" s="181" customFormat="1" hidden="1" x14ac:dyDescent="0.2">
      <c r="C4178" s="180"/>
    </row>
    <row r="4179" spans="3:3" s="181" customFormat="1" hidden="1" x14ac:dyDescent="0.2">
      <c r="C4179" s="180"/>
    </row>
    <row r="4180" spans="3:3" s="181" customFormat="1" hidden="1" x14ac:dyDescent="0.2">
      <c r="C4180" s="180"/>
    </row>
    <row r="4181" spans="3:3" s="181" customFormat="1" hidden="1" x14ac:dyDescent="0.2">
      <c r="C4181" s="180"/>
    </row>
    <row r="4182" spans="3:3" s="181" customFormat="1" hidden="1" x14ac:dyDescent="0.2">
      <c r="C4182" s="180"/>
    </row>
    <row r="4183" spans="3:3" s="181" customFormat="1" hidden="1" x14ac:dyDescent="0.2">
      <c r="C4183" s="180"/>
    </row>
    <row r="4184" spans="3:3" s="181" customFormat="1" hidden="1" x14ac:dyDescent="0.2">
      <c r="C4184" s="180"/>
    </row>
    <row r="4185" spans="3:3" s="181" customFormat="1" hidden="1" x14ac:dyDescent="0.2">
      <c r="C4185" s="180"/>
    </row>
    <row r="4186" spans="3:3" s="181" customFormat="1" hidden="1" x14ac:dyDescent="0.2">
      <c r="C4186" s="180"/>
    </row>
    <row r="4187" spans="3:3" s="181" customFormat="1" hidden="1" x14ac:dyDescent="0.2">
      <c r="C4187" s="180"/>
    </row>
    <row r="4188" spans="3:3" s="181" customFormat="1" hidden="1" x14ac:dyDescent="0.2">
      <c r="C4188" s="180"/>
    </row>
    <row r="4189" spans="3:3" s="181" customFormat="1" hidden="1" x14ac:dyDescent="0.2">
      <c r="C4189" s="180"/>
    </row>
    <row r="4190" spans="3:3" s="181" customFormat="1" hidden="1" x14ac:dyDescent="0.2">
      <c r="C4190" s="180"/>
    </row>
    <row r="4191" spans="3:3" s="181" customFormat="1" hidden="1" x14ac:dyDescent="0.2">
      <c r="C4191" s="180"/>
    </row>
    <row r="4192" spans="3:3" s="181" customFormat="1" hidden="1" x14ac:dyDescent="0.2">
      <c r="C4192" s="180"/>
    </row>
    <row r="4193" spans="3:3" s="181" customFormat="1" hidden="1" x14ac:dyDescent="0.2">
      <c r="C4193" s="180"/>
    </row>
    <row r="4194" spans="3:3" s="181" customFormat="1" hidden="1" x14ac:dyDescent="0.2">
      <c r="C4194" s="180"/>
    </row>
    <row r="4195" spans="3:3" s="181" customFormat="1" hidden="1" x14ac:dyDescent="0.2">
      <c r="C4195" s="180"/>
    </row>
    <row r="4196" spans="3:3" s="181" customFormat="1" hidden="1" x14ac:dyDescent="0.2">
      <c r="C4196" s="180"/>
    </row>
    <row r="4197" spans="3:3" s="181" customFormat="1" hidden="1" x14ac:dyDescent="0.2">
      <c r="C4197" s="180"/>
    </row>
    <row r="4198" spans="3:3" s="181" customFormat="1" hidden="1" x14ac:dyDescent="0.2">
      <c r="C4198" s="180"/>
    </row>
    <row r="4199" spans="3:3" s="181" customFormat="1" hidden="1" x14ac:dyDescent="0.2">
      <c r="C4199" s="180"/>
    </row>
    <row r="4200" spans="3:3" s="181" customFormat="1" hidden="1" x14ac:dyDescent="0.2">
      <c r="C4200" s="180"/>
    </row>
    <row r="4201" spans="3:3" s="181" customFormat="1" hidden="1" x14ac:dyDescent="0.2">
      <c r="C4201" s="180"/>
    </row>
    <row r="4202" spans="3:3" s="181" customFormat="1" hidden="1" x14ac:dyDescent="0.2">
      <c r="C4202" s="180"/>
    </row>
    <row r="4203" spans="3:3" s="181" customFormat="1" hidden="1" x14ac:dyDescent="0.2">
      <c r="C4203" s="180"/>
    </row>
    <row r="4204" spans="3:3" s="181" customFormat="1" hidden="1" x14ac:dyDescent="0.2">
      <c r="C4204" s="180"/>
    </row>
    <row r="4205" spans="3:3" s="181" customFormat="1" hidden="1" x14ac:dyDescent="0.2">
      <c r="C4205" s="180"/>
    </row>
    <row r="4206" spans="3:3" s="181" customFormat="1" hidden="1" x14ac:dyDescent="0.2">
      <c r="C4206" s="180"/>
    </row>
    <row r="4207" spans="3:3" s="181" customFormat="1" hidden="1" x14ac:dyDescent="0.2">
      <c r="C4207" s="180"/>
    </row>
    <row r="4208" spans="3:3" s="181" customFormat="1" hidden="1" x14ac:dyDescent="0.2">
      <c r="C4208" s="180"/>
    </row>
    <row r="4209" spans="3:3" s="181" customFormat="1" hidden="1" x14ac:dyDescent="0.2">
      <c r="C4209" s="180"/>
    </row>
    <row r="4210" spans="3:3" s="181" customFormat="1" hidden="1" x14ac:dyDescent="0.2">
      <c r="C4210" s="180"/>
    </row>
    <row r="4211" spans="3:3" s="181" customFormat="1" hidden="1" x14ac:dyDescent="0.2">
      <c r="C4211" s="180"/>
    </row>
    <row r="4212" spans="3:3" s="181" customFormat="1" hidden="1" x14ac:dyDescent="0.2">
      <c r="C4212" s="180"/>
    </row>
    <row r="4213" spans="3:3" s="181" customFormat="1" hidden="1" x14ac:dyDescent="0.2">
      <c r="C4213" s="180"/>
    </row>
    <row r="4214" spans="3:3" s="181" customFormat="1" hidden="1" x14ac:dyDescent="0.2">
      <c r="C4214" s="180"/>
    </row>
    <row r="4215" spans="3:3" s="181" customFormat="1" hidden="1" x14ac:dyDescent="0.2">
      <c r="C4215" s="180"/>
    </row>
    <row r="4216" spans="3:3" s="181" customFormat="1" hidden="1" x14ac:dyDescent="0.2">
      <c r="C4216" s="180"/>
    </row>
    <row r="4217" spans="3:3" s="181" customFormat="1" hidden="1" x14ac:dyDescent="0.2">
      <c r="C4217" s="180"/>
    </row>
    <row r="4218" spans="3:3" s="181" customFormat="1" hidden="1" x14ac:dyDescent="0.2">
      <c r="C4218" s="180"/>
    </row>
    <row r="4219" spans="3:3" s="181" customFormat="1" hidden="1" x14ac:dyDescent="0.2">
      <c r="C4219" s="180"/>
    </row>
    <row r="4220" spans="3:3" s="181" customFormat="1" hidden="1" x14ac:dyDescent="0.2">
      <c r="C4220" s="180"/>
    </row>
    <row r="4221" spans="3:3" s="181" customFormat="1" hidden="1" x14ac:dyDescent="0.2">
      <c r="C4221" s="180"/>
    </row>
    <row r="4222" spans="3:3" s="181" customFormat="1" hidden="1" x14ac:dyDescent="0.2">
      <c r="C4222" s="180"/>
    </row>
    <row r="4223" spans="3:3" s="181" customFormat="1" hidden="1" x14ac:dyDescent="0.2">
      <c r="C4223" s="180"/>
    </row>
    <row r="4224" spans="3:3" s="181" customFormat="1" hidden="1" x14ac:dyDescent="0.2">
      <c r="C4224" s="180"/>
    </row>
    <row r="4225" spans="3:3" s="181" customFormat="1" hidden="1" x14ac:dyDescent="0.2">
      <c r="C4225" s="180"/>
    </row>
    <row r="4226" spans="3:3" s="181" customFormat="1" hidden="1" x14ac:dyDescent="0.2">
      <c r="C4226" s="180"/>
    </row>
    <row r="4227" spans="3:3" s="181" customFormat="1" hidden="1" x14ac:dyDescent="0.2">
      <c r="C4227" s="180"/>
    </row>
    <row r="4228" spans="3:3" s="181" customFormat="1" hidden="1" x14ac:dyDescent="0.2">
      <c r="C4228" s="180"/>
    </row>
    <row r="4229" spans="3:3" s="181" customFormat="1" hidden="1" x14ac:dyDescent="0.2">
      <c r="C4229" s="180"/>
    </row>
    <row r="4230" spans="3:3" s="181" customFormat="1" hidden="1" x14ac:dyDescent="0.2">
      <c r="C4230" s="180"/>
    </row>
    <row r="4231" spans="3:3" s="181" customFormat="1" hidden="1" x14ac:dyDescent="0.2">
      <c r="C4231" s="180"/>
    </row>
    <row r="4232" spans="3:3" s="181" customFormat="1" hidden="1" x14ac:dyDescent="0.2">
      <c r="C4232" s="180"/>
    </row>
    <row r="4233" spans="3:3" s="181" customFormat="1" hidden="1" x14ac:dyDescent="0.2">
      <c r="C4233" s="180"/>
    </row>
    <row r="4234" spans="3:3" s="181" customFormat="1" hidden="1" x14ac:dyDescent="0.2">
      <c r="C4234" s="180"/>
    </row>
    <row r="4235" spans="3:3" s="181" customFormat="1" hidden="1" x14ac:dyDescent="0.2">
      <c r="C4235" s="180"/>
    </row>
    <row r="4236" spans="3:3" s="181" customFormat="1" hidden="1" x14ac:dyDescent="0.2">
      <c r="C4236" s="180"/>
    </row>
    <row r="4237" spans="3:3" s="181" customFormat="1" hidden="1" x14ac:dyDescent="0.2">
      <c r="C4237" s="180"/>
    </row>
    <row r="4238" spans="3:3" s="181" customFormat="1" hidden="1" x14ac:dyDescent="0.2">
      <c r="C4238" s="180"/>
    </row>
    <row r="4239" spans="3:3" s="181" customFormat="1" hidden="1" x14ac:dyDescent="0.2">
      <c r="C4239" s="180"/>
    </row>
    <row r="4240" spans="3:3" s="181" customFormat="1" hidden="1" x14ac:dyDescent="0.2">
      <c r="C4240" s="180"/>
    </row>
    <row r="4241" spans="3:3" s="181" customFormat="1" hidden="1" x14ac:dyDescent="0.2">
      <c r="C4241" s="180"/>
    </row>
    <row r="4242" spans="3:3" s="181" customFormat="1" hidden="1" x14ac:dyDescent="0.2">
      <c r="C4242" s="180"/>
    </row>
    <row r="4243" spans="3:3" s="181" customFormat="1" hidden="1" x14ac:dyDescent="0.2">
      <c r="C4243" s="180"/>
    </row>
    <row r="4244" spans="3:3" s="181" customFormat="1" hidden="1" x14ac:dyDescent="0.2">
      <c r="C4244" s="180"/>
    </row>
    <row r="4245" spans="3:3" s="181" customFormat="1" hidden="1" x14ac:dyDescent="0.2">
      <c r="C4245" s="180"/>
    </row>
    <row r="4246" spans="3:3" s="181" customFormat="1" hidden="1" x14ac:dyDescent="0.2">
      <c r="C4246" s="180"/>
    </row>
    <row r="4247" spans="3:3" s="181" customFormat="1" hidden="1" x14ac:dyDescent="0.2">
      <c r="C4247" s="180"/>
    </row>
    <row r="4248" spans="3:3" s="181" customFormat="1" hidden="1" x14ac:dyDescent="0.2">
      <c r="C4248" s="180"/>
    </row>
    <row r="4249" spans="3:3" s="181" customFormat="1" hidden="1" x14ac:dyDescent="0.2">
      <c r="C4249" s="180"/>
    </row>
    <row r="4250" spans="3:3" s="181" customFormat="1" hidden="1" x14ac:dyDescent="0.2">
      <c r="C4250" s="180"/>
    </row>
    <row r="4251" spans="3:3" s="181" customFormat="1" hidden="1" x14ac:dyDescent="0.2">
      <c r="C4251" s="180"/>
    </row>
    <row r="4252" spans="3:3" s="181" customFormat="1" hidden="1" x14ac:dyDescent="0.2">
      <c r="C4252" s="180"/>
    </row>
    <row r="4253" spans="3:3" s="181" customFormat="1" hidden="1" x14ac:dyDescent="0.2">
      <c r="C4253" s="180"/>
    </row>
    <row r="4254" spans="3:3" s="181" customFormat="1" hidden="1" x14ac:dyDescent="0.2">
      <c r="C4254" s="180"/>
    </row>
    <row r="4255" spans="3:3" s="181" customFormat="1" hidden="1" x14ac:dyDescent="0.2">
      <c r="C4255" s="180"/>
    </row>
    <row r="4256" spans="3:3" s="181" customFormat="1" hidden="1" x14ac:dyDescent="0.2">
      <c r="C4256" s="180"/>
    </row>
    <row r="4257" spans="3:3" s="181" customFormat="1" hidden="1" x14ac:dyDescent="0.2">
      <c r="C4257" s="180"/>
    </row>
    <row r="4258" spans="3:3" s="181" customFormat="1" hidden="1" x14ac:dyDescent="0.2">
      <c r="C4258" s="180"/>
    </row>
    <row r="4259" spans="3:3" s="181" customFormat="1" hidden="1" x14ac:dyDescent="0.2">
      <c r="C4259" s="180"/>
    </row>
    <row r="4260" spans="3:3" s="181" customFormat="1" hidden="1" x14ac:dyDescent="0.2">
      <c r="C4260" s="180"/>
    </row>
    <row r="4261" spans="3:3" s="181" customFormat="1" hidden="1" x14ac:dyDescent="0.2">
      <c r="C4261" s="180"/>
    </row>
    <row r="4262" spans="3:3" s="181" customFormat="1" hidden="1" x14ac:dyDescent="0.2">
      <c r="C4262" s="180"/>
    </row>
    <row r="4263" spans="3:3" s="181" customFormat="1" hidden="1" x14ac:dyDescent="0.2">
      <c r="C4263" s="180"/>
    </row>
    <row r="4264" spans="3:3" s="181" customFormat="1" hidden="1" x14ac:dyDescent="0.2">
      <c r="C4264" s="180"/>
    </row>
    <row r="4265" spans="3:3" s="181" customFormat="1" hidden="1" x14ac:dyDescent="0.2">
      <c r="C4265" s="180"/>
    </row>
    <row r="4266" spans="3:3" s="181" customFormat="1" hidden="1" x14ac:dyDescent="0.2">
      <c r="C4266" s="180"/>
    </row>
    <row r="4267" spans="3:3" s="181" customFormat="1" hidden="1" x14ac:dyDescent="0.2">
      <c r="C4267" s="180"/>
    </row>
    <row r="4268" spans="3:3" s="181" customFormat="1" hidden="1" x14ac:dyDescent="0.2">
      <c r="C4268" s="180"/>
    </row>
    <row r="4269" spans="3:3" s="181" customFormat="1" hidden="1" x14ac:dyDescent="0.2">
      <c r="C4269" s="180"/>
    </row>
    <row r="4270" spans="3:3" s="181" customFormat="1" hidden="1" x14ac:dyDescent="0.2">
      <c r="C4270" s="180"/>
    </row>
    <row r="4271" spans="3:3" s="181" customFormat="1" hidden="1" x14ac:dyDescent="0.2">
      <c r="C4271" s="180"/>
    </row>
    <row r="4272" spans="3:3" s="181" customFormat="1" hidden="1" x14ac:dyDescent="0.2">
      <c r="C4272" s="180"/>
    </row>
    <row r="4273" spans="3:3" s="181" customFormat="1" hidden="1" x14ac:dyDescent="0.2">
      <c r="C4273" s="180"/>
    </row>
    <row r="4274" spans="3:3" s="181" customFormat="1" hidden="1" x14ac:dyDescent="0.2">
      <c r="C4274" s="180"/>
    </row>
    <row r="4275" spans="3:3" s="181" customFormat="1" hidden="1" x14ac:dyDescent="0.2">
      <c r="C4275" s="180"/>
    </row>
    <row r="4276" spans="3:3" s="181" customFormat="1" hidden="1" x14ac:dyDescent="0.2">
      <c r="C4276" s="180"/>
    </row>
    <row r="4277" spans="3:3" s="181" customFormat="1" hidden="1" x14ac:dyDescent="0.2">
      <c r="C4277" s="180"/>
    </row>
    <row r="4278" spans="3:3" s="181" customFormat="1" hidden="1" x14ac:dyDescent="0.2">
      <c r="C4278" s="180"/>
    </row>
    <row r="4279" spans="3:3" s="181" customFormat="1" hidden="1" x14ac:dyDescent="0.2">
      <c r="C4279" s="180"/>
    </row>
    <row r="4280" spans="3:3" s="181" customFormat="1" hidden="1" x14ac:dyDescent="0.2">
      <c r="C4280" s="180"/>
    </row>
    <row r="4281" spans="3:3" s="181" customFormat="1" hidden="1" x14ac:dyDescent="0.2">
      <c r="C4281" s="180"/>
    </row>
    <row r="4282" spans="3:3" s="181" customFormat="1" hidden="1" x14ac:dyDescent="0.2">
      <c r="C4282" s="180"/>
    </row>
    <row r="4283" spans="3:3" s="181" customFormat="1" hidden="1" x14ac:dyDescent="0.2">
      <c r="C4283" s="180"/>
    </row>
    <row r="4284" spans="3:3" s="181" customFormat="1" hidden="1" x14ac:dyDescent="0.2">
      <c r="C4284" s="180"/>
    </row>
    <row r="4285" spans="3:3" s="181" customFormat="1" hidden="1" x14ac:dyDescent="0.2">
      <c r="C4285" s="180"/>
    </row>
    <row r="4286" spans="3:3" s="181" customFormat="1" hidden="1" x14ac:dyDescent="0.2">
      <c r="C4286" s="180"/>
    </row>
    <row r="4287" spans="3:3" s="181" customFormat="1" hidden="1" x14ac:dyDescent="0.2">
      <c r="C4287" s="180"/>
    </row>
    <row r="4288" spans="3:3" s="181" customFormat="1" hidden="1" x14ac:dyDescent="0.2">
      <c r="C4288" s="180"/>
    </row>
    <row r="4289" spans="3:3" s="181" customFormat="1" hidden="1" x14ac:dyDescent="0.2">
      <c r="C4289" s="180"/>
    </row>
    <row r="4290" spans="3:3" s="181" customFormat="1" hidden="1" x14ac:dyDescent="0.2">
      <c r="C4290" s="180"/>
    </row>
    <row r="4291" spans="3:3" s="181" customFormat="1" hidden="1" x14ac:dyDescent="0.2">
      <c r="C4291" s="180"/>
    </row>
    <row r="4292" spans="3:3" s="181" customFormat="1" hidden="1" x14ac:dyDescent="0.2">
      <c r="C4292" s="180"/>
    </row>
    <row r="4293" spans="3:3" s="181" customFormat="1" hidden="1" x14ac:dyDescent="0.2">
      <c r="C4293" s="180"/>
    </row>
    <row r="4294" spans="3:3" s="181" customFormat="1" hidden="1" x14ac:dyDescent="0.2">
      <c r="C4294" s="180"/>
    </row>
    <row r="4295" spans="3:3" s="181" customFormat="1" hidden="1" x14ac:dyDescent="0.2">
      <c r="C4295" s="180"/>
    </row>
    <row r="4296" spans="3:3" s="181" customFormat="1" hidden="1" x14ac:dyDescent="0.2">
      <c r="C4296" s="180"/>
    </row>
    <row r="4297" spans="3:3" s="181" customFormat="1" hidden="1" x14ac:dyDescent="0.2">
      <c r="C4297" s="180"/>
    </row>
    <row r="4298" spans="3:3" s="181" customFormat="1" hidden="1" x14ac:dyDescent="0.2">
      <c r="C4298" s="180"/>
    </row>
    <row r="4299" spans="3:3" s="181" customFormat="1" hidden="1" x14ac:dyDescent="0.2">
      <c r="C4299" s="180"/>
    </row>
    <row r="4300" spans="3:3" s="181" customFormat="1" hidden="1" x14ac:dyDescent="0.2">
      <c r="C4300" s="180"/>
    </row>
    <row r="4301" spans="3:3" s="181" customFormat="1" hidden="1" x14ac:dyDescent="0.2">
      <c r="C4301" s="180"/>
    </row>
    <row r="4302" spans="3:3" s="181" customFormat="1" hidden="1" x14ac:dyDescent="0.2">
      <c r="C4302" s="180"/>
    </row>
    <row r="4303" spans="3:3" s="181" customFormat="1" hidden="1" x14ac:dyDescent="0.2">
      <c r="C4303" s="180"/>
    </row>
    <row r="4304" spans="3:3" s="181" customFormat="1" hidden="1" x14ac:dyDescent="0.2">
      <c r="C4304" s="180"/>
    </row>
    <row r="4305" spans="3:3" s="181" customFormat="1" hidden="1" x14ac:dyDescent="0.2">
      <c r="C4305" s="180"/>
    </row>
    <row r="4306" spans="3:3" s="181" customFormat="1" hidden="1" x14ac:dyDescent="0.2">
      <c r="C4306" s="180"/>
    </row>
    <row r="4307" spans="3:3" s="181" customFormat="1" hidden="1" x14ac:dyDescent="0.2">
      <c r="C4307" s="180"/>
    </row>
    <row r="4308" spans="3:3" s="181" customFormat="1" hidden="1" x14ac:dyDescent="0.2">
      <c r="C4308" s="180"/>
    </row>
    <row r="4309" spans="3:3" s="181" customFormat="1" hidden="1" x14ac:dyDescent="0.2">
      <c r="C4309" s="180"/>
    </row>
    <row r="4310" spans="3:3" s="181" customFormat="1" hidden="1" x14ac:dyDescent="0.2">
      <c r="C4310" s="180"/>
    </row>
    <row r="4311" spans="3:3" s="181" customFormat="1" hidden="1" x14ac:dyDescent="0.2">
      <c r="C4311" s="180"/>
    </row>
    <row r="4312" spans="3:3" s="181" customFormat="1" hidden="1" x14ac:dyDescent="0.2">
      <c r="C4312" s="180"/>
    </row>
    <row r="4313" spans="3:3" s="181" customFormat="1" hidden="1" x14ac:dyDescent="0.2">
      <c r="C4313" s="180"/>
    </row>
    <row r="4314" spans="3:3" s="181" customFormat="1" hidden="1" x14ac:dyDescent="0.2">
      <c r="C4314" s="180"/>
    </row>
    <row r="4315" spans="3:3" s="181" customFormat="1" hidden="1" x14ac:dyDescent="0.2">
      <c r="C4315" s="180"/>
    </row>
    <row r="4316" spans="3:3" s="181" customFormat="1" hidden="1" x14ac:dyDescent="0.2">
      <c r="C4316" s="180"/>
    </row>
    <row r="4317" spans="3:3" s="181" customFormat="1" hidden="1" x14ac:dyDescent="0.2">
      <c r="C4317" s="180"/>
    </row>
    <row r="4318" spans="3:3" s="181" customFormat="1" hidden="1" x14ac:dyDescent="0.2">
      <c r="C4318" s="180"/>
    </row>
    <row r="4319" spans="3:3" s="181" customFormat="1" hidden="1" x14ac:dyDescent="0.2">
      <c r="C4319" s="180"/>
    </row>
    <row r="4320" spans="3:3" s="181" customFormat="1" hidden="1" x14ac:dyDescent="0.2">
      <c r="C4320" s="180"/>
    </row>
    <row r="4321" spans="3:3" s="181" customFormat="1" hidden="1" x14ac:dyDescent="0.2">
      <c r="C4321" s="180"/>
    </row>
    <row r="4322" spans="3:3" s="181" customFormat="1" hidden="1" x14ac:dyDescent="0.2">
      <c r="C4322" s="180"/>
    </row>
    <row r="4323" spans="3:3" s="181" customFormat="1" hidden="1" x14ac:dyDescent="0.2">
      <c r="C4323" s="180"/>
    </row>
    <row r="4324" spans="3:3" s="181" customFormat="1" hidden="1" x14ac:dyDescent="0.2">
      <c r="C4324" s="180"/>
    </row>
    <row r="4325" spans="3:3" s="181" customFormat="1" hidden="1" x14ac:dyDescent="0.2">
      <c r="C4325" s="180"/>
    </row>
    <row r="4326" spans="3:3" s="181" customFormat="1" hidden="1" x14ac:dyDescent="0.2">
      <c r="C4326" s="180"/>
    </row>
    <row r="4327" spans="3:3" s="181" customFormat="1" hidden="1" x14ac:dyDescent="0.2">
      <c r="C4327" s="180"/>
    </row>
    <row r="4328" spans="3:3" s="181" customFormat="1" hidden="1" x14ac:dyDescent="0.2">
      <c r="C4328" s="180"/>
    </row>
    <row r="4329" spans="3:3" s="181" customFormat="1" hidden="1" x14ac:dyDescent="0.2">
      <c r="C4329" s="180"/>
    </row>
    <row r="4330" spans="3:3" s="181" customFormat="1" hidden="1" x14ac:dyDescent="0.2">
      <c r="C4330" s="180"/>
    </row>
    <row r="4331" spans="3:3" s="181" customFormat="1" hidden="1" x14ac:dyDescent="0.2">
      <c r="C4331" s="180"/>
    </row>
    <row r="4332" spans="3:3" s="181" customFormat="1" hidden="1" x14ac:dyDescent="0.2">
      <c r="C4332" s="180"/>
    </row>
    <row r="4333" spans="3:3" s="181" customFormat="1" hidden="1" x14ac:dyDescent="0.2">
      <c r="C4333" s="180"/>
    </row>
    <row r="4334" spans="3:3" s="181" customFormat="1" hidden="1" x14ac:dyDescent="0.2">
      <c r="C4334" s="180"/>
    </row>
    <row r="4335" spans="3:3" s="181" customFormat="1" hidden="1" x14ac:dyDescent="0.2">
      <c r="C4335" s="180"/>
    </row>
    <row r="4336" spans="3:3" s="181" customFormat="1" hidden="1" x14ac:dyDescent="0.2">
      <c r="C4336" s="180"/>
    </row>
    <row r="4337" spans="3:3" s="181" customFormat="1" hidden="1" x14ac:dyDescent="0.2">
      <c r="C4337" s="180"/>
    </row>
    <row r="4338" spans="3:3" s="181" customFormat="1" hidden="1" x14ac:dyDescent="0.2">
      <c r="C4338" s="180"/>
    </row>
    <row r="4339" spans="3:3" s="181" customFormat="1" hidden="1" x14ac:dyDescent="0.2">
      <c r="C4339" s="180"/>
    </row>
    <row r="4340" spans="3:3" s="181" customFormat="1" hidden="1" x14ac:dyDescent="0.2">
      <c r="C4340" s="180"/>
    </row>
    <row r="4341" spans="3:3" s="181" customFormat="1" hidden="1" x14ac:dyDescent="0.2">
      <c r="C4341" s="180"/>
    </row>
    <row r="4342" spans="3:3" s="181" customFormat="1" hidden="1" x14ac:dyDescent="0.2">
      <c r="C4342" s="180"/>
    </row>
    <row r="4343" spans="3:3" s="181" customFormat="1" hidden="1" x14ac:dyDescent="0.2">
      <c r="C4343" s="180"/>
    </row>
    <row r="4344" spans="3:3" s="181" customFormat="1" hidden="1" x14ac:dyDescent="0.2">
      <c r="C4344" s="180"/>
    </row>
    <row r="4345" spans="3:3" s="181" customFormat="1" hidden="1" x14ac:dyDescent="0.2">
      <c r="C4345" s="180"/>
    </row>
    <row r="4346" spans="3:3" s="181" customFormat="1" hidden="1" x14ac:dyDescent="0.2">
      <c r="C4346" s="180"/>
    </row>
    <row r="4347" spans="3:3" s="181" customFormat="1" hidden="1" x14ac:dyDescent="0.2">
      <c r="C4347" s="180"/>
    </row>
    <row r="4348" spans="3:3" s="181" customFormat="1" hidden="1" x14ac:dyDescent="0.2">
      <c r="C4348" s="180"/>
    </row>
    <row r="4349" spans="3:3" s="181" customFormat="1" hidden="1" x14ac:dyDescent="0.2">
      <c r="C4349" s="180"/>
    </row>
    <row r="4350" spans="3:3" s="181" customFormat="1" hidden="1" x14ac:dyDescent="0.2">
      <c r="C4350" s="180"/>
    </row>
    <row r="4351" spans="3:3" s="181" customFormat="1" hidden="1" x14ac:dyDescent="0.2">
      <c r="C4351" s="180"/>
    </row>
    <row r="4352" spans="3:3" s="181" customFormat="1" hidden="1" x14ac:dyDescent="0.2">
      <c r="C4352" s="180"/>
    </row>
    <row r="4353" spans="3:3" s="181" customFormat="1" hidden="1" x14ac:dyDescent="0.2">
      <c r="C4353" s="180"/>
    </row>
    <row r="4354" spans="3:3" s="181" customFormat="1" hidden="1" x14ac:dyDescent="0.2">
      <c r="C4354" s="180"/>
    </row>
    <row r="4355" spans="3:3" s="181" customFormat="1" hidden="1" x14ac:dyDescent="0.2">
      <c r="C4355" s="180"/>
    </row>
    <row r="4356" spans="3:3" s="181" customFormat="1" hidden="1" x14ac:dyDescent="0.2">
      <c r="C4356" s="180"/>
    </row>
    <row r="4357" spans="3:3" s="181" customFormat="1" hidden="1" x14ac:dyDescent="0.2">
      <c r="C4357" s="180"/>
    </row>
    <row r="4358" spans="3:3" s="181" customFormat="1" hidden="1" x14ac:dyDescent="0.2">
      <c r="C4358" s="180"/>
    </row>
    <row r="4359" spans="3:3" s="181" customFormat="1" hidden="1" x14ac:dyDescent="0.2">
      <c r="C4359" s="180"/>
    </row>
    <row r="4360" spans="3:3" s="181" customFormat="1" hidden="1" x14ac:dyDescent="0.2">
      <c r="C4360" s="180"/>
    </row>
    <row r="4361" spans="3:3" s="181" customFormat="1" hidden="1" x14ac:dyDescent="0.2">
      <c r="C4361" s="180"/>
    </row>
    <row r="4362" spans="3:3" s="181" customFormat="1" hidden="1" x14ac:dyDescent="0.2">
      <c r="C4362" s="180"/>
    </row>
    <row r="4363" spans="3:3" s="181" customFormat="1" hidden="1" x14ac:dyDescent="0.2">
      <c r="C4363" s="180"/>
    </row>
    <row r="4364" spans="3:3" s="181" customFormat="1" hidden="1" x14ac:dyDescent="0.2">
      <c r="C4364" s="180"/>
    </row>
    <row r="4365" spans="3:3" s="181" customFormat="1" hidden="1" x14ac:dyDescent="0.2">
      <c r="C4365" s="180"/>
    </row>
    <row r="4366" spans="3:3" s="181" customFormat="1" hidden="1" x14ac:dyDescent="0.2">
      <c r="C4366" s="180"/>
    </row>
    <row r="4367" spans="3:3" s="181" customFormat="1" hidden="1" x14ac:dyDescent="0.2">
      <c r="C4367" s="180"/>
    </row>
    <row r="4368" spans="3:3" s="181" customFormat="1" hidden="1" x14ac:dyDescent="0.2">
      <c r="C4368" s="180"/>
    </row>
    <row r="4369" spans="3:3" s="181" customFormat="1" hidden="1" x14ac:dyDescent="0.2">
      <c r="C4369" s="180"/>
    </row>
    <row r="4370" spans="3:3" s="181" customFormat="1" hidden="1" x14ac:dyDescent="0.2">
      <c r="C4370" s="180"/>
    </row>
    <row r="4371" spans="3:3" s="181" customFormat="1" hidden="1" x14ac:dyDescent="0.2">
      <c r="C4371" s="180"/>
    </row>
    <row r="4372" spans="3:3" s="181" customFormat="1" hidden="1" x14ac:dyDescent="0.2">
      <c r="C4372" s="180"/>
    </row>
    <row r="4373" spans="3:3" s="181" customFormat="1" hidden="1" x14ac:dyDescent="0.2">
      <c r="C4373" s="180"/>
    </row>
    <row r="4374" spans="3:3" s="181" customFormat="1" hidden="1" x14ac:dyDescent="0.2">
      <c r="C4374" s="180"/>
    </row>
    <row r="4375" spans="3:3" s="181" customFormat="1" hidden="1" x14ac:dyDescent="0.2">
      <c r="C4375" s="180"/>
    </row>
    <row r="4376" spans="3:3" s="181" customFormat="1" hidden="1" x14ac:dyDescent="0.2">
      <c r="C4376" s="180"/>
    </row>
    <row r="4377" spans="3:3" s="181" customFormat="1" hidden="1" x14ac:dyDescent="0.2">
      <c r="C4377" s="180"/>
    </row>
    <row r="4378" spans="3:3" s="181" customFormat="1" hidden="1" x14ac:dyDescent="0.2">
      <c r="C4378" s="180"/>
    </row>
    <row r="4379" spans="3:3" s="181" customFormat="1" hidden="1" x14ac:dyDescent="0.2">
      <c r="C4379" s="180"/>
    </row>
    <row r="4380" spans="3:3" s="181" customFormat="1" hidden="1" x14ac:dyDescent="0.2">
      <c r="C4380" s="180"/>
    </row>
    <row r="4381" spans="3:3" s="181" customFormat="1" hidden="1" x14ac:dyDescent="0.2">
      <c r="C4381" s="180"/>
    </row>
    <row r="4382" spans="3:3" s="181" customFormat="1" hidden="1" x14ac:dyDescent="0.2">
      <c r="C4382" s="180"/>
    </row>
    <row r="4383" spans="3:3" s="181" customFormat="1" hidden="1" x14ac:dyDescent="0.2">
      <c r="C4383" s="180"/>
    </row>
    <row r="4384" spans="3:3" s="181" customFormat="1" hidden="1" x14ac:dyDescent="0.2">
      <c r="C4384" s="180"/>
    </row>
    <row r="4385" spans="3:3" s="181" customFormat="1" hidden="1" x14ac:dyDescent="0.2">
      <c r="C4385" s="180"/>
    </row>
    <row r="4386" spans="3:3" s="181" customFormat="1" hidden="1" x14ac:dyDescent="0.2">
      <c r="C4386" s="180"/>
    </row>
    <row r="4387" spans="3:3" s="181" customFormat="1" hidden="1" x14ac:dyDescent="0.2">
      <c r="C4387" s="180"/>
    </row>
    <row r="4388" spans="3:3" s="181" customFormat="1" hidden="1" x14ac:dyDescent="0.2">
      <c r="C4388" s="180"/>
    </row>
    <row r="4389" spans="3:3" s="181" customFormat="1" hidden="1" x14ac:dyDescent="0.2">
      <c r="C4389" s="180"/>
    </row>
    <row r="4390" spans="3:3" s="181" customFormat="1" hidden="1" x14ac:dyDescent="0.2">
      <c r="C4390" s="180"/>
    </row>
    <row r="4391" spans="3:3" s="181" customFormat="1" hidden="1" x14ac:dyDescent="0.2">
      <c r="C4391" s="180"/>
    </row>
    <row r="4392" spans="3:3" s="181" customFormat="1" hidden="1" x14ac:dyDescent="0.2">
      <c r="C4392" s="180"/>
    </row>
    <row r="4393" spans="3:3" s="181" customFormat="1" hidden="1" x14ac:dyDescent="0.2">
      <c r="C4393" s="180"/>
    </row>
    <row r="4394" spans="3:3" s="181" customFormat="1" hidden="1" x14ac:dyDescent="0.2">
      <c r="C4394" s="180"/>
    </row>
    <row r="4395" spans="3:3" s="181" customFormat="1" hidden="1" x14ac:dyDescent="0.2">
      <c r="C4395" s="180"/>
    </row>
    <row r="4396" spans="3:3" s="181" customFormat="1" hidden="1" x14ac:dyDescent="0.2">
      <c r="C4396" s="180"/>
    </row>
    <row r="4397" spans="3:3" s="181" customFormat="1" hidden="1" x14ac:dyDescent="0.2">
      <c r="C4397" s="180"/>
    </row>
    <row r="4398" spans="3:3" s="181" customFormat="1" hidden="1" x14ac:dyDescent="0.2">
      <c r="C4398" s="180"/>
    </row>
    <row r="4399" spans="3:3" s="181" customFormat="1" hidden="1" x14ac:dyDescent="0.2">
      <c r="C4399" s="180"/>
    </row>
    <row r="4400" spans="3:3" s="181" customFormat="1" hidden="1" x14ac:dyDescent="0.2">
      <c r="C4400" s="180"/>
    </row>
    <row r="4401" spans="3:3" s="181" customFormat="1" hidden="1" x14ac:dyDescent="0.2">
      <c r="C4401" s="180"/>
    </row>
    <row r="4402" spans="3:3" s="181" customFormat="1" hidden="1" x14ac:dyDescent="0.2">
      <c r="C4402" s="180"/>
    </row>
    <row r="4403" spans="3:3" s="181" customFormat="1" hidden="1" x14ac:dyDescent="0.2">
      <c r="C4403" s="180"/>
    </row>
    <row r="4404" spans="3:3" s="181" customFormat="1" hidden="1" x14ac:dyDescent="0.2">
      <c r="C4404" s="180"/>
    </row>
    <row r="4405" spans="3:3" s="181" customFormat="1" hidden="1" x14ac:dyDescent="0.2">
      <c r="C4405" s="180"/>
    </row>
    <row r="4406" spans="3:3" s="181" customFormat="1" hidden="1" x14ac:dyDescent="0.2">
      <c r="C4406" s="180"/>
    </row>
    <row r="4407" spans="3:3" s="181" customFormat="1" hidden="1" x14ac:dyDescent="0.2">
      <c r="C4407" s="180"/>
    </row>
    <row r="4408" spans="3:3" s="181" customFormat="1" hidden="1" x14ac:dyDescent="0.2">
      <c r="C4408" s="180"/>
    </row>
    <row r="4409" spans="3:3" s="181" customFormat="1" hidden="1" x14ac:dyDescent="0.2">
      <c r="C4409" s="180"/>
    </row>
    <row r="4410" spans="3:3" s="181" customFormat="1" hidden="1" x14ac:dyDescent="0.2">
      <c r="C4410" s="180"/>
    </row>
    <row r="4411" spans="3:3" s="181" customFormat="1" hidden="1" x14ac:dyDescent="0.2">
      <c r="C4411" s="180"/>
    </row>
    <row r="4412" spans="3:3" s="181" customFormat="1" hidden="1" x14ac:dyDescent="0.2">
      <c r="C4412" s="180"/>
    </row>
    <row r="4413" spans="3:3" s="181" customFormat="1" hidden="1" x14ac:dyDescent="0.2">
      <c r="C4413" s="180"/>
    </row>
    <row r="4414" spans="3:3" s="181" customFormat="1" hidden="1" x14ac:dyDescent="0.2">
      <c r="C4414" s="180"/>
    </row>
    <row r="4415" spans="3:3" s="181" customFormat="1" hidden="1" x14ac:dyDescent="0.2">
      <c r="C4415" s="180"/>
    </row>
    <row r="4416" spans="3:3" s="181" customFormat="1" hidden="1" x14ac:dyDescent="0.2">
      <c r="C4416" s="180"/>
    </row>
    <row r="4417" spans="3:3" s="181" customFormat="1" hidden="1" x14ac:dyDescent="0.2">
      <c r="C4417" s="180"/>
    </row>
    <row r="4418" spans="3:3" s="181" customFormat="1" hidden="1" x14ac:dyDescent="0.2">
      <c r="C4418" s="180"/>
    </row>
    <row r="4419" spans="3:3" s="181" customFormat="1" hidden="1" x14ac:dyDescent="0.2">
      <c r="C4419" s="180"/>
    </row>
    <row r="4420" spans="3:3" s="181" customFormat="1" hidden="1" x14ac:dyDescent="0.2">
      <c r="C4420" s="180"/>
    </row>
    <row r="4421" spans="3:3" s="181" customFormat="1" hidden="1" x14ac:dyDescent="0.2">
      <c r="C4421" s="180"/>
    </row>
    <row r="4422" spans="3:3" s="181" customFormat="1" hidden="1" x14ac:dyDescent="0.2">
      <c r="C4422" s="180"/>
    </row>
    <row r="4423" spans="3:3" s="181" customFormat="1" hidden="1" x14ac:dyDescent="0.2">
      <c r="C4423" s="180"/>
    </row>
    <row r="4424" spans="3:3" s="181" customFormat="1" hidden="1" x14ac:dyDescent="0.2">
      <c r="C4424" s="180"/>
    </row>
    <row r="4425" spans="3:3" s="181" customFormat="1" hidden="1" x14ac:dyDescent="0.2">
      <c r="C4425" s="180"/>
    </row>
    <row r="4426" spans="3:3" s="181" customFormat="1" hidden="1" x14ac:dyDescent="0.2">
      <c r="C4426" s="180"/>
    </row>
    <row r="4427" spans="3:3" s="181" customFormat="1" hidden="1" x14ac:dyDescent="0.2">
      <c r="C4427" s="180"/>
    </row>
    <row r="4428" spans="3:3" s="181" customFormat="1" hidden="1" x14ac:dyDescent="0.2">
      <c r="C4428" s="180"/>
    </row>
    <row r="4429" spans="3:3" s="181" customFormat="1" hidden="1" x14ac:dyDescent="0.2">
      <c r="C4429" s="180"/>
    </row>
    <row r="4430" spans="3:3" s="181" customFormat="1" hidden="1" x14ac:dyDescent="0.2">
      <c r="C4430" s="180"/>
    </row>
    <row r="4431" spans="3:3" s="181" customFormat="1" hidden="1" x14ac:dyDescent="0.2">
      <c r="C4431" s="180"/>
    </row>
    <row r="4432" spans="3:3" s="181" customFormat="1" hidden="1" x14ac:dyDescent="0.2">
      <c r="C4432" s="180"/>
    </row>
    <row r="4433" spans="3:3" s="181" customFormat="1" hidden="1" x14ac:dyDescent="0.2">
      <c r="C4433" s="180"/>
    </row>
    <row r="4434" spans="3:3" s="181" customFormat="1" hidden="1" x14ac:dyDescent="0.2">
      <c r="C4434" s="180"/>
    </row>
    <row r="4435" spans="3:3" s="181" customFormat="1" hidden="1" x14ac:dyDescent="0.2">
      <c r="C4435" s="180"/>
    </row>
    <row r="4436" spans="3:3" s="181" customFormat="1" hidden="1" x14ac:dyDescent="0.2">
      <c r="C4436" s="180"/>
    </row>
    <row r="4437" spans="3:3" s="181" customFormat="1" hidden="1" x14ac:dyDescent="0.2">
      <c r="C4437" s="180"/>
    </row>
    <row r="4438" spans="3:3" s="181" customFormat="1" hidden="1" x14ac:dyDescent="0.2">
      <c r="C4438" s="180"/>
    </row>
    <row r="4439" spans="3:3" s="181" customFormat="1" hidden="1" x14ac:dyDescent="0.2">
      <c r="C4439" s="180"/>
    </row>
    <row r="4440" spans="3:3" s="181" customFormat="1" hidden="1" x14ac:dyDescent="0.2">
      <c r="C4440" s="180"/>
    </row>
    <row r="4441" spans="3:3" s="181" customFormat="1" hidden="1" x14ac:dyDescent="0.2">
      <c r="C4441" s="180"/>
    </row>
    <row r="4442" spans="3:3" s="181" customFormat="1" hidden="1" x14ac:dyDescent="0.2">
      <c r="C4442" s="180"/>
    </row>
    <row r="4443" spans="3:3" s="181" customFormat="1" hidden="1" x14ac:dyDescent="0.2">
      <c r="C4443" s="180"/>
    </row>
    <row r="4444" spans="3:3" s="181" customFormat="1" hidden="1" x14ac:dyDescent="0.2">
      <c r="C4444" s="180"/>
    </row>
    <row r="4445" spans="3:3" s="181" customFormat="1" hidden="1" x14ac:dyDescent="0.2">
      <c r="C4445" s="180"/>
    </row>
    <row r="4446" spans="3:3" s="181" customFormat="1" hidden="1" x14ac:dyDescent="0.2">
      <c r="C4446" s="180"/>
    </row>
    <row r="4447" spans="3:3" s="181" customFormat="1" hidden="1" x14ac:dyDescent="0.2">
      <c r="C4447" s="180"/>
    </row>
    <row r="4448" spans="3:3" s="181" customFormat="1" hidden="1" x14ac:dyDescent="0.2">
      <c r="C4448" s="180"/>
    </row>
    <row r="4449" spans="3:3" s="181" customFormat="1" hidden="1" x14ac:dyDescent="0.2">
      <c r="C4449" s="180"/>
    </row>
    <row r="4450" spans="3:3" s="181" customFormat="1" hidden="1" x14ac:dyDescent="0.2">
      <c r="C4450" s="180"/>
    </row>
    <row r="4451" spans="3:3" s="181" customFormat="1" hidden="1" x14ac:dyDescent="0.2">
      <c r="C4451" s="180"/>
    </row>
    <row r="4452" spans="3:3" s="181" customFormat="1" hidden="1" x14ac:dyDescent="0.2">
      <c r="C4452" s="180"/>
    </row>
    <row r="4453" spans="3:3" s="181" customFormat="1" hidden="1" x14ac:dyDescent="0.2">
      <c r="C4453" s="180"/>
    </row>
    <row r="4454" spans="3:3" s="181" customFormat="1" hidden="1" x14ac:dyDescent="0.2">
      <c r="C4454" s="180"/>
    </row>
    <row r="4455" spans="3:3" s="181" customFormat="1" hidden="1" x14ac:dyDescent="0.2">
      <c r="C4455" s="180"/>
    </row>
    <row r="4456" spans="3:3" s="181" customFormat="1" hidden="1" x14ac:dyDescent="0.2">
      <c r="C4456" s="180"/>
    </row>
    <row r="4457" spans="3:3" s="181" customFormat="1" hidden="1" x14ac:dyDescent="0.2">
      <c r="C4457" s="180"/>
    </row>
    <row r="4458" spans="3:3" s="181" customFormat="1" hidden="1" x14ac:dyDescent="0.2">
      <c r="C4458" s="180"/>
    </row>
    <row r="4459" spans="3:3" s="181" customFormat="1" hidden="1" x14ac:dyDescent="0.2">
      <c r="C4459" s="180"/>
    </row>
    <row r="4460" spans="3:3" s="181" customFormat="1" hidden="1" x14ac:dyDescent="0.2">
      <c r="C4460" s="180"/>
    </row>
    <row r="4461" spans="3:3" s="181" customFormat="1" hidden="1" x14ac:dyDescent="0.2">
      <c r="C4461" s="180"/>
    </row>
    <row r="4462" spans="3:3" s="181" customFormat="1" hidden="1" x14ac:dyDescent="0.2">
      <c r="C4462" s="180"/>
    </row>
    <row r="4463" spans="3:3" s="181" customFormat="1" hidden="1" x14ac:dyDescent="0.2">
      <c r="C4463" s="180"/>
    </row>
    <row r="4464" spans="3:3" s="181" customFormat="1" hidden="1" x14ac:dyDescent="0.2">
      <c r="C4464" s="180"/>
    </row>
    <row r="4465" spans="3:3" s="181" customFormat="1" hidden="1" x14ac:dyDescent="0.2">
      <c r="C4465" s="180"/>
    </row>
    <row r="4466" spans="3:3" s="181" customFormat="1" hidden="1" x14ac:dyDescent="0.2">
      <c r="C4466" s="180"/>
    </row>
    <row r="4467" spans="3:3" s="181" customFormat="1" hidden="1" x14ac:dyDescent="0.2">
      <c r="C4467" s="180"/>
    </row>
    <row r="4468" spans="3:3" s="181" customFormat="1" hidden="1" x14ac:dyDescent="0.2">
      <c r="C4468" s="180"/>
    </row>
    <row r="4469" spans="3:3" s="181" customFormat="1" hidden="1" x14ac:dyDescent="0.2">
      <c r="C4469" s="180"/>
    </row>
    <row r="4470" spans="3:3" s="181" customFormat="1" hidden="1" x14ac:dyDescent="0.2">
      <c r="C4470" s="180"/>
    </row>
    <row r="4471" spans="3:3" s="181" customFormat="1" hidden="1" x14ac:dyDescent="0.2">
      <c r="C4471" s="180"/>
    </row>
    <row r="4472" spans="3:3" s="181" customFormat="1" hidden="1" x14ac:dyDescent="0.2">
      <c r="C4472" s="180"/>
    </row>
    <row r="4473" spans="3:3" s="181" customFormat="1" hidden="1" x14ac:dyDescent="0.2">
      <c r="C4473" s="180"/>
    </row>
    <row r="4474" spans="3:3" s="181" customFormat="1" hidden="1" x14ac:dyDescent="0.2">
      <c r="C4474" s="180"/>
    </row>
    <row r="4475" spans="3:3" s="181" customFormat="1" hidden="1" x14ac:dyDescent="0.2">
      <c r="C4475" s="180"/>
    </row>
    <row r="4476" spans="3:3" s="181" customFormat="1" hidden="1" x14ac:dyDescent="0.2">
      <c r="C4476" s="180"/>
    </row>
    <row r="4477" spans="3:3" s="181" customFormat="1" hidden="1" x14ac:dyDescent="0.2">
      <c r="C4477" s="180"/>
    </row>
    <row r="4478" spans="3:3" s="181" customFormat="1" hidden="1" x14ac:dyDescent="0.2">
      <c r="C4478" s="180"/>
    </row>
    <row r="4479" spans="3:3" s="181" customFormat="1" hidden="1" x14ac:dyDescent="0.2">
      <c r="C4479" s="180"/>
    </row>
    <row r="4480" spans="3:3" s="181" customFormat="1" hidden="1" x14ac:dyDescent="0.2">
      <c r="C4480" s="180"/>
    </row>
    <row r="4481" spans="3:3" s="181" customFormat="1" hidden="1" x14ac:dyDescent="0.2">
      <c r="C4481" s="180"/>
    </row>
    <row r="4482" spans="3:3" s="181" customFormat="1" hidden="1" x14ac:dyDescent="0.2">
      <c r="C4482" s="180"/>
    </row>
    <row r="4483" spans="3:3" s="181" customFormat="1" hidden="1" x14ac:dyDescent="0.2">
      <c r="C4483" s="180"/>
    </row>
    <row r="4484" spans="3:3" s="181" customFormat="1" hidden="1" x14ac:dyDescent="0.2">
      <c r="C4484" s="180"/>
    </row>
    <row r="4485" spans="3:3" s="181" customFormat="1" hidden="1" x14ac:dyDescent="0.2">
      <c r="C4485" s="180"/>
    </row>
    <row r="4486" spans="3:3" s="181" customFormat="1" hidden="1" x14ac:dyDescent="0.2">
      <c r="C4486" s="180"/>
    </row>
    <row r="4487" spans="3:3" s="181" customFormat="1" hidden="1" x14ac:dyDescent="0.2">
      <c r="C4487" s="180"/>
    </row>
    <row r="4488" spans="3:3" s="181" customFormat="1" hidden="1" x14ac:dyDescent="0.2">
      <c r="C4488" s="180"/>
    </row>
    <row r="4489" spans="3:3" s="181" customFormat="1" hidden="1" x14ac:dyDescent="0.2">
      <c r="C4489" s="180"/>
    </row>
    <row r="4490" spans="3:3" s="181" customFormat="1" hidden="1" x14ac:dyDescent="0.2">
      <c r="C4490" s="180"/>
    </row>
    <row r="4491" spans="3:3" s="181" customFormat="1" hidden="1" x14ac:dyDescent="0.2">
      <c r="C4491" s="180"/>
    </row>
    <row r="4492" spans="3:3" s="181" customFormat="1" hidden="1" x14ac:dyDescent="0.2">
      <c r="C4492" s="180"/>
    </row>
    <row r="4493" spans="3:3" s="181" customFormat="1" hidden="1" x14ac:dyDescent="0.2">
      <c r="C4493" s="180"/>
    </row>
    <row r="4494" spans="3:3" s="181" customFormat="1" hidden="1" x14ac:dyDescent="0.2">
      <c r="C4494" s="180"/>
    </row>
    <row r="4495" spans="3:3" s="181" customFormat="1" hidden="1" x14ac:dyDescent="0.2">
      <c r="C4495" s="180"/>
    </row>
    <row r="4496" spans="3:3" s="181" customFormat="1" hidden="1" x14ac:dyDescent="0.2">
      <c r="C4496" s="180"/>
    </row>
    <row r="4497" spans="3:3" s="181" customFormat="1" hidden="1" x14ac:dyDescent="0.2">
      <c r="C4497" s="180"/>
    </row>
    <row r="4498" spans="3:3" s="181" customFormat="1" hidden="1" x14ac:dyDescent="0.2">
      <c r="C4498" s="180"/>
    </row>
    <row r="4499" spans="3:3" s="181" customFormat="1" hidden="1" x14ac:dyDescent="0.2">
      <c r="C4499" s="180"/>
    </row>
    <row r="4500" spans="3:3" s="181" customFormat="1" hidden="1" x14ac:dyDescent="0.2">
      <c r="C4500" s="180"/>
    </row>
    <row r="4501" spans="3:3" s="181" customFormat="1" hidden="1" x14ac:dyDescent="0.2">
      <c r="C4501" s="180"/>
    </row>
    <row r="4502" spans="3:3" s="181" customFormat="1" hidden="1" x14ac:dyDescent="0.2">
      <c r="C4502" s="180"/>
    </row>
    <row r="4503" spans="3:3" s="181" customFormat="1" hidden="1" x14ac:dyDescent="0.2">
      <c r="C4503" s="180"/>
    </row>
    <row r="4504" spans="3:3" s="181" customFormat="1" hidden="1" x14ac:dyDescent="0.2">
      <c r="C4504" s="180"/>
    </row>
    <row r="4505" spans="3:3" s="181" customFormat="1" hidden="1" x14ac:dyDescent="0.2">
      <c r="C4505" s="180"/>
    </row>
    <row r="4506" spans="3:3" s="181" customFormat="1" hidden="1" x14ac:dyDescent="0.2">
      <c r="C4506" s="180"/>
    </row>
    <row r="4507" spans="3:3" s="181" customFormat="1" hidden="1" x14ac:dyDescent="0.2">
      <c r="C4507" s="180"/>
    </row>
    <row r="4508" spans="3:3" s="181" customFormat="1" hidden="1" x14ac:dyDescent="0.2">
      <c r="C4508" s="180"/>
    </row>
    <row r="4509" spans="3:3" s="181" customFormat="1" hidden="1" x14ac:dyDescent="0.2">
      <c r="C4509" s="180"/>
    </row>
    <row r="4510" spans="3:3" s="181" customFormat="1" hidden="1" x14ac:dyDescent="0.2">
      <c r="C4510" s="180"/>
    </row>
    <row r="4511" spans="3:3" s="181" customFormat="1" hidden="1" x14ac:dyDescent="0.2">
      <c r="C4511" s="180"/>
    </row>
    <row r="4512" spans="3:3" s="181" customFormat="1" hidden="1" x14ac:dyDescent="0.2">
      <c r="C4512" s="180"/>
    </row>
    <row r="4513" spans="3:3" s="181" customFormat="1" hidden="1" x14ac:dyDescent="0.2">
      <c r="C4513" s="180"/>
    </row>
    <row r="4514" spans="3:3" s="181" customFormat="1" hidden="1" x14ac:dyDescent="0.2">
      <c r="C4514" s="180"/>
    </row>
    <row r="4515" spans="3:3" s="181" customFormat="1" hidden="1" x14ac:dyDescent="0.2">
      <c r="C4515" s="180"/>
    </row>
    <row r="4516" spans="3:3" s="181" customFormat="1" hidden="1" x14ac:dyDescent="0.2">
      <c r="C4516" s="180"/>
    </row>
    <row r="4517" spans="3:3" s="181" customFormat="1" hidden="1" x14ac:dyDescent="0.2">
      <c r="C4517" s="180"/>
    </row>
    <row r="4518" spans="3:3" s="181" customFormat="1" hidden="1" x14ac:dyDescent="0.2">
      <c r="C4518" s="180"/>
    </row>
    <row r="4519" spans="3:3" s="181" customFormat="1" hidden="1" x14ac:dyDescent="0.2">
      <c r="C4519" s="180"/>
    </row>
    <row r="4520" spans="3:3" s="181" customFormat="1" hidden="1" x14ac:dyDescent="0.2">
      <c r="C4520" s="180"/>
    </row>
    <row r="4521" spans="3:3" s="181" customFormat="1" hidden="1" x14ac:dyDescent="0.2">
      <c r="C4521" s="180"/>
    </row>
    <row r="4522" spans="3:3" s="181" customFormat="1" hidden="1" x14ac:dyDescent="0.2">
      <c r="C4522" s="180"/>
    </row>
    <row r="4523" spans="3:3" s="181" customFormat="1" hidden="1" x14ac:dyDescent="0.2">
      <c r="C4523" s="180"/>
    </row>
    <row r="4524" spans="3:3" s="181" customFormat="1" hidden="1" x14ac:dyDescent="0.2">
      <c r="C4524" s="180"/>
    </row>
    <row r="4525" spans="3:3" s="181" customFormat="1" hidden="1" x14ac:dyDescent="0.2">
      <c r="C4525" s="180"/>
    </row>
    <row r="4526" spans="3:3" s="181" customFormat="1" hidden="1" x14ac:dyDescent="0.2">
      <c r="C4526" s="180"/>
    </row>
    <row r="4527" spans="3:3" s="181" customFormat="1" hidden="1" x14ac:dyDescent="0.2">
      <c r="C4527" s="180"/>
    </row>
    <row r="4528" spans="3:3" s="181" customFormat="1" hidden="1" x14ac:dyDescent="0.2">
      <c r="C4528" s="180"/>
    </row>
    <row r="4529" spans="3:3" s="181" customFormat="1" hidden="1" x14ac:dyDescent="0.2">
      <c r="C4529" s="180"/>
    </row>
    <row r="4530" spans="3:3" s="181" customFormat="1" hidden="1" x14ac:dyDescent="0.2">
      <c r="C4530" s="180"/>
    </row>
    <row r="4531" spans="3:3" s="181" customFormat="1" hidden="1" x14ac:dyDescent="0.2">
      <c r="C4531" s="180"/>
    </row>
    <row r="4532" spans="3:3" s="181" customFormat="1" hidden="1" x14ac:dyDescent="0.2">
      <c r="C4532" s="180"/>
    </row>
    <row r="4533" spans="3:3" s="181" customFormat="1" hidden="1" x14ac:dyDescent="0.2">
      <c r="C4533" s="180"/>
    </row>
    <row r="4534" spans="3:3" s="181" customFormat="1" hidden="1" x14ac:dyDescent="0.2">
      <c r="C4534" s="180"/>
    </row>
    <row r="4535" spans="3:3" s="181" customFormat="1" hidden="1" x14ac:dyDescent="0.2">
      <c r="C4535" s="180"/>
    </row>
    <row r="4536" spans="3:3" s="181" customFormat="1" hidden="1" x14ac:dyDescent="0.2">
      <c r="C4536" s="180"/>
    </row>
    <row r="4537" spans="3:3" s="181" customFormat="1" hidden="1" x14ac:dyDescent="0.2">
      <c r="C4537" s="180"/>
    </row>
    <row r="4538" spans="3:3" s="181" customFormat="1" hidden="1" x14ac:dyDescent="0.2">
      <c r="C4538" s="180"/>
    </row>
    <row r="4539" spans="3:3" s="181" customFormat="1" hidden="1" x14ac:dyDescent="0.2">
      <c r="C4539" s="180"/>
    </row>
    <row r="4540" spans="3:3" s="181" customFormat="1" hidden="1" x14ac:dyDescent="0.2">
      <c r="C4540" s="180"/>
    </row>
    <row r="4541" spans="3:3" s="181" customFormat="1" hidden="1" x14ac:dyDescent="0.2">
      <c r="C4541" s="180"/>
    </row>
    <row r="4542" spans="3:3" s="181" customFormat="1" hidden="1" x14ac:dyDescent="0.2">
      <c r="C4542" s="180"/>
    </row>
    <row r="4543" spans="3:3" s="181" customFormat="1" hidden="1" x14ac:dyDescent="0.2">
      <c r="C4543" s="180"/>
    </row>
    <row r="4544" spans="3:3" s="181" customFormat="1" hidden="1" x14ac:dyDescent="0.2">
      <c r="C4544" s="180"/>
    </row>
    <row r="4545" spans="3:3" s="181" customFormat="1" hidden="1" x14ac:dyDescent="0.2">
      <c r="C4545" s="180"/>
    </row>
    <row r="4546" spans="3:3" s="181" customFormat="1" hidden="1" x14ac:dyDescent="0.2">
      <c r="C4546" s="180"/>
    </row>
    <row r="4547" spans="3:3" s="181" customFormat="1" hidden="1" x14ac:dyDescent="0.2">
      <c r="C4547" s="180"/>
    </row>
    <row r="4548" spans="3:3" s="181" customFormat="1" hidden="1" x14ac:dyDescent="0.2">
      <c r="C4548" s="180"/>
    </row>
    <row r="4549" spans="3:3" s="181" customFormat="1" hidden="1" x14ac:dyDescent="0.2">
      <c r="C4549" s="180"/>
    </row>
    <row r="4550" spans="3:3" s="181" customFormat="1" hidden="1" x14ac:dyDescent="0.2">
      <c r="C4550" s="180"/>
    </row>
    <row r="4551" spans="3:3" s="181" customFormat="1" hidden="1" x14ac:dyDescent="0.2">
      <c r="C4551" s="180"/>
    </row>
    <row r="4552" spans="3:3" s="181" customFormat="1" hidden="1" x14ac:dyDescent="0.2">
      <c r="C4552" s="180"/>
    </row>
    <row r="4553" spans="3:3" s="181" customFormat="1" hidden="1" x14ac:dyDescent="0.2">
      <c r="C4553" s="180"/>
    </row>
    <row r="4554" spans="3:3" s="181" customFormat="1" hidden="1" x14ac:dyDescent="0.2">
      <c r="C4554" s="180"/>
    </row>
    <row r="4555" spans="3:3" s="181" customFormat="1" hidden="1" x14ac:dyDescent="0.2">
      <c r="C4555" s="180"/>
    </row>
    <row r="4556" spans="3:3" s="181" customFormat="1" hidden="1" x14ac:dyDescent="0.2">
      <c r="C4556" s="180"/>
    </row>
    <row r="4557" spans="3:3" s="181" customFormat="1" hidden="1" x14ac:dyDescent="0.2">
      <c r="C4557" s="180"/>
    </row>
    <row r="4558" spans="3:3" s="181" customFormat="1" hidden="1" x14ac:dyDescent="0.2">
      <c r="C4558" s="180"/>
    </row>
    <row r="4559" spans="3:3" s="181" customFormat="1" hidden="1" x14ac:dyDescent="0.2">
      <c r="C4559" s="180"/>
    </row>
    <row r="4560" spans="3:3" s="181" customFormat="1" hidden="1" x14ac:dyDescent="0.2">
      <c r="C4560" s="180"/>
    </row>
    <row r="4561" spans="3:3" s="181" customFormat="1" hidden="1" x14ac:dyDescent="0.2">
      <c r="C4561" s="180"/>
    </row>
    <row r="4562" spans="3:3" s="181" customFormat="1" hidden="1" x14ac:dyDescent="0.2">
      <c r="C4562" s="180"/>
    </row>
    <row r="4563" spans="3:3" s="181" customFormat="1" hidden="1" x14ac:dyDescent="0.2">
      <c r="C4563" s="180"/>
    </row>
    <row r="4564" spans="3:3" s="181" customFormat="1" hidden="1" x14ac:dyDescent="0.2">
      <c r="C4564" s="180"/>
    </row>
    <row r="4565" spans="3:3" s="181" customFormat="1" hidden="1" x14ac:dyDescent="0.2">
      <c r="C4565" s="180"/>
    </row>
    <row r="4566" spans="3:3" s="181" customFormat="1" hidden="1" x14ac:dyDescent="0.2">
      <c r="C4566" s="180"/>
    </row>
    <row r="4567" spans="3:3" s="181" customFormat="1" hidden="1" x14ac:dyDescent="0.2">
      <c r="C4567" s="180"/>
    </row>
    <row r="4568" spans="3:3" s="181" customFormat="1" hidden="1" x14ac:dyDescent="0.2">
      <c r="C4568" s="180"/>
    </row>
    <row r="4569" spans="3:3" s="181" customFormat="1" hidden="1" x14ac:dyDescent="0.2">
      <c r="C4569" s="180"/>
    </row>
    <row r="4570" spans="3:3" s="181" customFormat="1" hidden="1" x14ac:dyDescent="0.2">
      <c r="C4570" s="180"/>
    </row>
    <row r="4571" spans="3:3" s="181" customFormat="1" hidden="1" x14ac:dyDescent="0.2">
      <c r="C4571" s="180"/>
    </row>
    <row r="4572" spans="3:3" s="181" customFormat="1" hidden="1" x14ac:dyDescent="0.2">
      <c r="C4572" s="180"/>
    </row>
    <row r="4573" spans="3:3" s="181" customFormat="1" hidden="1" x14ac:dyDescent="0.2">
      <c r="C4573" s="180"/>
    </row>
    <row r="4574" spans="3:3" s="181" customFormat="1" hidden="1" x14ac:dyDescent="0.2">
      <c r="C4574" s="180"/>
    </row>
    <row r="4575" spans="3:3" s="181" customFormat="1" hidden="1" x14ac:dyDescent="0.2">
      <c r="C4575" s="180"/>
    </row>
    <row r="4576" spans="3:3" s="181" customFormat="1" hidden="1" x14ac:dyDescent="0.2">
      <c r="C4576" s="180"/>
    </row>
    <row r="4577" spans="3:3" s="181" customFormat="1" hidden="1" x14ac:dyDescent="0.2">
      <c r="C4577" s="180"/>
    </row>
    <row r="4578" spans="3:3" s="181" customFormat="1" hidden="1" x14ac:dyDescent="0.2">
      <c r="C4578" s="180"/>
    </row>
    <row r="4579" spans="3:3" s="181" customFormat="1" hidden="1" x14ac:dyDescent="0.2">
      <c r="C4579" s="180"/>
    </row>
    <row r="4580" spans="3:3" s="181" customFormat="1" hidden="1" x14ac:dyDescent="0.2">
      <c r="C4580" s="180"/>
    </row>
    <row r="4581" spans="3:3" s="181" customFormat="1" hidden="1" x14ac:dyDescent="0.2">
      <c r="C4581" s="180"/>
    </row>
    <row r="4582" spans="3:3" s="181" customFormat="1" hidden="1" x14ac:dyDescent="0.2">
      <c r="C4582" s="180"/>
    </row>
    <row r="4583" spans="3:3" s="181" customFormat="1" hidden="1" x14ac:dyDescent="0.2">
      <c r="C4583" s="180"/>
    </row>
    <row r="4584" spans="3:3" s="181" customFormat="1" hidden="1" x14ac:dyDescent="0.2">
      <c r="C4584" s="180"/>
    </row>
    <row r="4585" spans="3:3" s="181" customFormat="1" hidden="1" x14ac:dyDescent="0.2">
      <c r="C4585" s="180"/>
    </row>
    <row r="4586" spans="3:3" s="181" customFormat="1" hidden="1" x14ac:dyDescent="0.2">
      <c r="C4586" s="180"/>
    </row>
    <row r="4587" spans="3:3" s="181" customFormat="1" hidden="1" x14ac:dyDescent="0.2">
      <c r="C4587" s="180"/>
    </row>
    <row r="4588" spans="3:3" s="181" customFormat="1" hidden="1" x14ac:dyDescent="0.2">
      <c r="C4588" s="180"/>
    </row>
    <row r="4589" spans="3:3" s="181" customFormat="1" hidden="1" x14ac:dyDescent="0.2">
      <c r="C4589" s="180"/>
    </row>
    <row r="4590" spans="3:3" s="181" customFormat="1" hidden="1" x14ac:dyDescent="0.2">
      <c r="C4590" s="180"/>
    </row>
    <row r="4591" spans="3:3" s="181" customFormat="1" hidden="1" x14ac:dyDescent="0.2">
      <c r="C4591" s="180"/>
    </row>
    <row r="4592" spans="3:3" s="181" customFormat="1" hidden="1" x14ac:dyDescent="0.2">
      <c r="C4592" s="180"/>
    </row>
    <row r="4593" spans="3:3" s="181" customFormat="1" hidden="1" x14ac:dyDescent="0.2">
      <c r="C4593" s="180"/>
    </row>
    <row r="4594" spans="3:3" s="181" customFormat="1" hidden="1" x14ac:dyDescent="0.2">
      <c r="C4594" s="180"/>
    </row>
    <row r="4595" spans="3:3" s="181" customFormat="1" hidden="1" x14ac:dyDescent="0.2">
      <c r="C4595" s="180"/>
    </row>
    <row r="4596" spans="3:3" s="181" customFormat="1" hidden="1" x14ac:dyDescent="0.2">
      <c r="C4596" s="180"/>
    </row>
    <row r="4597" spans="3:3" s="181" customFormat="1" hidden="1" x14ac:dyDescent="0.2">
      <c r="C4597" s="180"/>
    </row>
    <row r="4598" spans="3:3" s="181" customFormat="1" hidden="1" x14ac:dyDescent="0.2">
      <c r="C4598" s="180"/>
    </row>
    <row r="4599" spans="3:3" s="181" customFormat="1" hidden="1" x14ac:dyDescent="0.2">
      <c r="C4599" s="180"/>
    </row>
    <row r="4600" spans="3:3" s="181" customFormat="1" hidden="1" x14ac:dyDescent="0.2">
      <c r="C4600" s="180"/>
    </row>
    <row r="4601" spans="3:3" s="181" customFormat="1" hidden="1" x14ac:dyDescent="0.2">
      <c r="C4601" s="180"/>
    </row>
    <row r="4602" spans="3:3" s="181" customFormat="1" hidden="1" x14ac:dyDescent="0.2">
      <c r="C4602" s="180"/>
    </row>
    <row r="4603" spans="3:3" s="181" customFormat="1" hidden="1" x14ac:dyDescent="0.2">
      <c r="C4603" s="180"/>
    </row>
    <row r="4604" spans="3:3" s="181" customFormat="1" hidden="1" x14ac:dyDescent="0.2">
      <c r="C4604" s="180"/>
    </row>
    <row r="4605" spans="3:3" s="181" customFormat="1" hidden="1" x14ac:dyDescent="0.2">
      <c r="C4605" s="180"/>
    </row>
    <row r="4606" spans="3:3" s="181" customFormat="1" hidden="1" x14ac:dyDescent="0.2">
      <c r="C4606" s="180"/>
    </row>
    <row r="4607" spans="3:3" s="181" customFormat="1" hidden="1" x14ac:dyDescent="0.2">
      <c r="C4607" s="180"/>
    </row>
    <row r="4608" spans="3:3" s="181" customFormat="1" hidden="1" x14ac:dyDescent="0.2">
      <c r="C4608" s="180"/>
    </row>
    <row r="4609" spans="3:3" s="181" customFormat="1" hidden="1" x14ac:dyDescent="0.2">
      <c r="C4609" s="180"/>
    </row>
    <row r="4610" spans="3:3" s="181" customFormat="1" hidden="1" x14ac:dyDescent="0.2">
      <c r="C4610" s="180"/>
    </row>
    <row r="4611" spans="3:3" s="181" customFormat="1" hidden="1" x14ac:dyDescent="0.2">
      <c r="C4611" s="180"/>
    </row>
    <row r="4612" spans="3:3" s="181" customFormat="1" hidden="1" x14ac:dyDescent="0.2">
      <c r="C4612" s="180"/>
    </row>
    <row r="4613" spans="3:3" s="181" customFormat="1" hidden="1" x14ac:dyDescent="0.2">
      <c r="C4613" s="180"/>
    </row>
    <row r="4614" spans="3:3" s="181" customFormat="1" hidden="1" x14ac:dyDescent="0.2">
      <c r="C4614" s="180"/>
    </row>
    <row r="4615" spans="3:3" s="181" customFormat="1" hidden="1" x14ac:dyDescent="0.2">
      <c r="C4615" s="180"/>
    </row>
    <row r="4616" spans="3:3" s="181" customFormat="1" hidden="1" x14ac:dyDescent="0.2">
      <c r="C4616" s="180"/>
    </row>
    <row r="4617" spans="3:3" s="181" customFormat="1" hidden="1" x14ac:dyDescent="0.2">
      <c r="C4617" s="180"/>
    </row>
    <row r="4618" spans="3:3" s="181" customFormat="1" hidden="1" x14ac:dyDescent="0.2">
      <c r="C4618" s="180"/>
    </row>
    <row r="4619" spans="3:3" s="181" customFormat="1" hidden="1" x14ac:dyDescent="0.2">
      <c r="C4619" s="180"/>
    </row>
    <row r="4620" spans="3:3" s="181" customFormat="1" hidden="1" x14ac:dyDescent="0.2">
      <c r="C4620" s="180"/>
    </row>
    <row r="4621" spans="3:3" s="181" customFormat="1" hidden="1" x14ac:dyDescent="0.2">
      <c r="C4621" s="180"/>
    </row>
    <row r="4622" spans="3:3" s="181" customFormat="1" hidden="1" x14ac:dyDescent="0.2">
      <c r="C4622" s="180"/>
    </row>
    <row r="4623" spans="3:3" s="181" customFormat="1" hidden="1" x14ac:dyDescent="0.2">
      <c r="C4623" s="180"/>
    </row>
    <row r="4624" spans="3:3" s="181" customFormat="1" hidden="1" x14ac:dyDescent="0.2">
      <c r="C4624" s="180"/>
    </row>
    <row r="4625" spans="3:3" s="181" customFormat="1" hidden="1" x14ac:dyDescent="0.2">
      <c r="C4625" s="180"/>
    </row>
    <row r="4626" spans="3:3" s="181" customFormat="1" hidden="1" x14ac:dyDescent="0.2">
      <c r="C4626" s="180"/>
    </row>
    <row r="4627" spans="3:3" s="181" customFormat="1" hidden="1" x14ac:dyDescent="0.2">
      <c r="C4627" s="180"/>
    </row>
    <row r="4628" spans="3:3" s="181" customFormat="1" hidden="1" x14ac:dyDescent="0.2">
      <c r="C4628" s="180"/>
    </row>
    <row r="4629" spans="3:3" s="181" customFormat="1" hidden="1" x14ac:dyDescent="0.2">
      <c r="C4629" s="180"/>
    </row>
    <row r="4630" spans="3:3" s="181" customFormat="1" hidden="1" x14ac:dyDescent="0.2">
      <c r="C4630" s="180"/>
    </row>
    <row r="4631" spans="3:3" s="181" customFormat="1" hidden="1" x14ac:dyDescent="0.2">
      <c r="C4631" s="180"/>
    </row>
    <row r="4632" spans="3:3" s="181" customFormat="1" hidden="1" x14ac:dyDescent="0.2">
      <c r="C4632" s="180"/>
    </row>
    <row r="4633" spans="3:3" s="181" customFormat="1" hidden="1" x14ac:dyDescent="0.2">
      <c r="C4633" s="180"/>
    </row>
    <row r="4634" spans="3:3" s="181" customFormat="1" hidden="1" x14ac:dyDescent="0.2">
      <c r="C4634" s="180"/>
    </row>
    <row r="4635" spans="3:3" s="181" customFormat="1" hidden="1" x14ac:dyDescent="0.2">
      <c r="C4635" s="180"/>
    </row>
    <row r="4636" spans="3:3" s="181" customFormat="1" hidden="1" x14ac:dyDescent="0.2">
      <c r="C4636" s="180"/>
    </row>
    <row r="4637" spans="3:3" s="181" customFormat="1" hidden="1" x14ac:dyDescent="0.2">
      <c r="C4637" s="180"/>
    </row>
    <row r="4638" spans="3:3" s="181" customFormat="1" hidden="1" x14ac:dyDescent="0.2">
      <c r="C4638" s="180"/>
    </row>
    <row r="4639" spans="3:3" s="181" customFormat="1" hidden="1" x14ac:dyDescent="0.2">
      <c r="C4639" s="180"/>
    </row>
    <row r="4640" spans="3:3" s="181" customFormat="1" hidden="1" x14ac:dyDescent="0.2">
      <c r="C4640" s="180"/>
    </row>
    <row r="4641" spans="3:3" s="181" customFormat="1" hidden="1" x14ac:dyDescent="0.2">
      <c r="C4641" s="180"/>
    </row>
    <row r="4642" spans="3:3" s="181" customFormat="1" hidden="1" x14ac:dyDescent="0.2">
      <c r="C4642" s="180"/>
    </row>
    <row r="4643" spans="3:3" s="181" customFormat="1" hidden="1" x14ac:dyDescent="0.2">
      <c r="C4643" s="180"/>
    </row>
    <row r="4644" spans="3:3" s="181" customFormat="1" hidden="1" x14ac:dyDescent="0.2">
      <c r="C4644" s="180"/>
    </row>
    <row r="4645" spans="3:3" s="181" customFormat="1" hidden="1" x14ac:dyDescent="0.2">
      <c r="C4645" s="180"/>
    </row>
    <row r="4646" spans="3:3" s="181" customFormat="1" hidden="1" x14ac:dyDescent="0.2">
      <c r="C4646" s="180"/>
    </row>
    <row r="4647" spans="3:3" s="181" customFormat="1" hidden="1" x14ac:dyDescent="0.2">
      <c r="C4647" s="180"/>
    </row>
    <row r="4648" spans="3:3" s="181" customFormat="1" hidden="1" x14ac:dyDescent="0.2">
      <c r="C4648" s="180"/>
    </row>
    <row r="4649" spans="3:3" s="181" customFormat="1" hidden="1" x14ac:dyDescent="0.2">
      <c r="C4649" s="180"/>
    </row>
    <row r="4650" spans="3:3" s="181" customFormat="1" hidden="1" x14ac:dyDescent="0.2">
      <c r="C4650" s="180"/>
    </row>
    <row r="4651" spans="3:3" s="181" customFormat="1" hidden="1" x14ac:dyDescent="0.2">
      <c r="C4651" s="180"/>
    </row>
    <row r="4652" spans="3:3" s="181" customFormat="1" hidden="1" x14ac:dyDescent="0.2">
      <c r="C4652" s="180"/>
    </row>
    <row r="4653" spans="3:3" s="181" customFormat="1" hidden="1" x14ac:dyDescent="0.2">
      <c r="C4653" s="180"/>
    </row>
    <row r="4654" spans="3:3" s="181" customFormat="1" hidden="1" x14ac:dyDescent="0.2">
      <c r="C4654" s="180"/>
    </row>
    <row r="4655" spans="3:3" s="181" customFormat="1" hidden="1" x14ac:dyDescent="0.2">
      <c r="C4655" s="180"/>
    </row>
    <row r="4656" spans="3:3" s="181" customFormat="1" hidden="1" x14ac:dyDescent="0.2">
      <c r="C4656" s="180"/>
    </row>
    <row r="4657" spans="3:3" s="181" customFormat="1" hidden="1" x14ac:dyDescent="0.2">
      <c r="C4657" s="180"/>
    </row>
    <row r="4658" spans="3:3" s="181" customFormat="1" hidden="1" x14ac:dyDescent="0.2">
      <c r="C4658" s="180"/>
    </row>
    <row r="4659" spans="3:3" s="181" customFormat="1" hidden="1" x14ac:dyDescent="0.2">
      <c r="C4659" s="180"/>
    </row>
    <row r="4660" spans="3:3" s="181" customFormat="1" hidden="1" x14ac:dyDescent="0.2">
      <c r="C4660" s="180"/>
    </row>
    <row r="4661" spans="3:3" s="181" customFormat="1" hidden="1" x14ac:dyDescent="0.2">
      <c r="C4661" s="180"/>
    </row>
    <row r="4662" spans="3:3" s="181" customFormat="1" hidden="1" x14ac:dyDescent="0.2">
      <c r="C4662" s="180"/>
    </row>
    <row r="4663" spans="3:3" s="181" customFormat="1" hidden="1" x14ac:dyDescent="0.2">
      <c r="C4663" s="180"/>
    </row>
    <row r="4664" spans="3:3" s="181" customFormat="1" hidden="1" x14ac:dyDescent="0.2">
      <c r="C4664" s="180"/>
    </row>
    <row r="4665" spans="3:3" s="181" customFormat="1" hidden="1" x14ac:dyDescent="0.2">
      <c r="C4665" s="180"/>
    </row>
    <row r="4666" spans="3:3" s="181" customFormat="1" hidden="1" x14ac:dyDescent="0.2">
      <c r="C4666" s="180"/>
    </row>
    <row r="4667" spans="3:3" s="181" customFormat="1" hidden="1" x14ac:dyDescent="0.2">
      <c r="C4667" s="180"/>
    </row>
    <row r="4668" spans="3:3" s="181" customFormat="1" hidden="1" x14ac:dyDescent="0.2">
      <c r="C4668" s="180"/>
    </row>
    <row r="4669" spans="3:3" s="181" customFormat="1" hidden="1" x14ac:dyDescent="0.2">
      <c r="C4669" s="180"/>
    </row>
    <row r="4670" spans="3:3" s="181" customFormat="1" hidden="1" x14ac:dyDescent="0.2">
      <c r="C4670" s="180"/>
    </row>
    <row r="4671" spans="3:3" s="181" customFormat="1" hidden="1" x14ac:dyDescent="0.2">
      <c r="C4671" s="180"/>
    </row>
    <row r="4672" spans="3:3" s="181" customFormat="1" hidden="1" x14ac:dyDescent="0.2">
      <c r="C4672" s="180"/>
    </row>
    <row r="4673" spans="3:3" s="181" customFormat="1" hidden="1" x14ac:dyDescent="0.2">
      <c r="C4673" s="180"/>
    </row>
    <row r="4674" spans="3:3" s="181" customFormat="1" hidden="1" x14ac:dyDescent="0.2">
      <c r="C4674" s="180"/>
    </row>
    <row r="4675" spans="3:3" s="181" customFormat="1" hidden="1" x14ac:dyDescent="0.2">
      <c r="C4675" s="180"/>
    </row>
    <row r="4676" spans="3:3" s="181" customFormat="1" hidden="1" x14ac:dyDescent="0.2">
      <c r="C4676" s="180"/>
    </row>
    <row r="4677" spans="3:3" s="181" customFormat="1" hidden="1" x14ac:dyDescent="0.2">
      <c r="C4677" s="180"/>
    </row>
    <row r="4678" spans="3:3" s="181" customFormat="1" hidden="1" x14ac:dyDescent="0.2">
      <c r="C4678" s="180"/>
    </row>
    <row r="4679" spans="3:3" s="181" customFormat="1" hidden="1" x14ac:dyDescent="0.2">
      <c r="C4679" s="180"/>
    </row>
    <row r="4680" spans="3:3" s="181" customFormat="1" hidden="1" x14ac:dyDescent="0.2">
      <c r="C4680" s="180"/>
    </row>
    <row r="4681" spans="3:3" s="181" customFormat="1" hidden="1" x14ac:dyDescent="0.2">
      <c r="C4681" s="180"/>
    </row>
    <row r="4682" spans="3:3" s="181" customFormat="1" hidden="1" x14ac:dyDescent="0.2">
      <c r="C4682" s="180"/>
    </row>
    <row r="4683" spans="3:3" s="181" customFormat="1" hidden="1" x14ac:dyDescent="0.2">
      <c r="C4683" s="180"/>
    </row>
    <row r="4684" spans="3:3" s="181" customFormat="1" hidden="1" x14ac:dyDescent="0.2">
      <c r="C4684" s="180"/>
    </row>
    <row r="4685" spans="3:3" s="181" customFormat="1" hidden="1" x14ac:dyDescent="0.2">
      <c r="C4685" s="180"/>
    </row>
    <row r="4686" spans="3:3" s="181" customFormat="1" hidden="1" x14ac:dyDescent="0.2">
      <c r="C4686" s="180"/>
    </row>
    <row r="4687" spans="3:3" s="181" customFormat="1" hidden="1" x14ac:dyDescent="0.2">
      <c r="C4687" s="180"/>
    </row>
    <row r="4688" spans="3:3" s="181" customFormat="1" hidden="1" x14ac:dyDescent="0.2">
      <c r="C4688" s="180"/>
    </row>
    <row r="4689" spans="3:3" s="181" customFormat="1" hidden="1" x14ac:dyDescent="0.2">
      <c r="C4689" s="180"/>
    </row>
    <row r="4690" spans="3:3" s="181" customFormat="1" hidden="1" x14ac:dyDescent="0.2">
      <c r="C4690" s="180"/>
    </row>
    <row r="4691" spans="3:3" s="181" customFormat="1" hidden="1" x14ac:dyDescent="0.2">
      <c r="C4691" s="180"/>
    </row>
    <row r="4692" spans="3:3" s="181" customFormat="1" hidden="1" x14ac:dyDescent="0.2">
      <c r="C4692" s="180"/>
    </row>
    <row r="4693" spans="3:3" s="181" customFormat="1" hidden="1" x14ac:dyDescent="0.2">
      <c r="C4693" s="180"/>
    </row>
    <row r="4694" spans="3:3" s="181" customFormat="1" hidden="1" x14ac:dyDescent="0.2">
      <c r="C4694" s="180"/>
    </row>
    <row r="4695" spans="3:3" s="181" customFormat="1" hidden="1" x14ac:dyDescent="0.2">
      <c r="C4695" s="180"/>
    </row>
    <row r="4696" spans="3:3" s="181" customFormat="1" hidden="1" x14ac:dyDescent="0.2">
      <c r="C4696" s="180"/>
    </row>
    <row r="4697" spans="3:3" s="181" customFormat="1" hidden="1" x14ac:dyDescent="0.2">
      <c r="C4697" s="180"/>
    </row>
    <row r="4698" spans="3:3" s="181" customFormat="1" hidden="1" x14ac:dyDescent="0.2">
      <c r="C4698" s="180"/>
    </row>
    <row r="4699" spans="3:3" s="181" customFormat="1" hidden="1" x14ac:dyDescent="0.2">
      <c r="C4699" s="180"/>
    </row>
    <row r="4700" spans="3:3" s="181" customFormat="1" hidden="1" x14ac:dyDescent="0.2">
      <c r="C4700" s="180"/>
    </row>
    <row r="4701" spans="3:3" s="181" customFormat="1" hidden="1" x14ac:dyDescent="0.2">
      <c r="C4701" s="180"/>
    </row>
    <row r="4702" spans="3:3" s="181" customFormat="1" hidden="1" x14ac:dyDescent="0.2">
      <c r="C4702" s="180"/>
    </row>
    <row r="4703" spans="3:3" s="181" customFormat="1" hidden="1" x14ac:dyDescent="0.2">
      <c r="C4703" s="180"/>
    </row>
    <row r="4704" spans="3:3" s="181" customFormat="1" hidden="1" x14ac:dyDescent="0.2">
      <c r="C4704" s="180"/>
    </row>
    <row r="4705" spans="3:3" s="181" customFormat="1" hidden="1" x14ac:dyDescent="0.2">
      <c r="C4705" s="180"/>
    </row>
    <row r="4706" spans="3:3" s="181" customFormat="1" hidden="1" x14ac:dyDescent="0.2">
      <c r="C4706" s="180"/>
    </row>
    <row r="4707" spans="3:3" s="181" customFormat="1" hidden="1" x14ac:dyDescent="0.2">
      <c r="C4707" s="180"/>
    </row>
    <row r="4708" spans="3:3" s="181" customFormat="1" hidden="1" x14ac:dyDescent="0.2">
      <c r="C4708" s="180"/>
    </row>
    <row r="4709" spans="3:3" s="181" customFormat="1" hidden="1" x14ac:dyDescent="0.2">
      <c r="C4709" s="180"/>
    </row>
    <row r="4710" spans="3:3" s="181" customFormat="1" hidden="1" x14ac:dyDescent="0.2">
      <c r="C4710" s="180"/>
    </row>
    <row r="4711" spans="3:3" s="181" customFormat="1" hidden="1" x14ac:dyDescent="0.2">
      <c r="C4711" s="180"/>
    </row>
    <row r="4712" spans="3:3" s="181" customFormat="1" hidden="1" x14ac:dyDescent="0.2">
      <c r="C4712" s="180"/>
    </row>
    <row r="4713" spans="3:3" s="181" customFormat="1" hidden="1" x14ac:dyDescent="0.2">
      <c r="C4713" s="180"/>
    </row>
    <row r="4714" spans="3:3" s="181" customFormat="1" hidden="1" x14ac:dyDescent="0.2">
      <c r="C4714" s="180"/>
    </row>
    <row r="4715" spans="3:3" s="181" customFormat="1" hidden="1" x14ac:dyDescent="0.2">
      <c r="C4715" s="180"/>
    </row>
    <row r="4716" spans="3:3" s="181" customFormat="1" hidden="1" x14ac:dyDescent="0.2">
      <c r="C4716" s="180"/>
    </row>
    <row r="4717" spans="3:3" s="181" customFormat="1" hidden="1" x14ac:dyDescent="0.2">
      <c r="C4717" s="180"/>
    </row>
    <row r="4718" spans="3:3" s="181" customFormat="1" hidden="1" x14ac:dyDescent="0.2">
      <c r="C4718" s="180"/>
    </row>
    <row r="4719" spans="3:3" s="181" customFormat="1" hidden="1" x14ac:dyDescent="0.2">
      <c r="C4719" s="180"/>
    </row>
    <row r="4720" spans="3:3" s="181" customFormat="1" hidden="1" x14ac:dyDescent="0.2">
      <c r="C4720" s="180"/>
    </row>
    <row r="4721" spans="3:3" s="181" customFormat="1" hidden="1" x14ac:dyDescent="0.2">
      <c r="C4721" s="180"/>
    </row>
    <row r="4722" spans="3:3" s="181" customFormat="1" hidden="1" x14ac:dyDescent="0.2">
      <c r="C4722" s="180"/>
    </row>
    <row r="4723" spans="3:3" s="181" customFormat="1" hidden="1" x14ac:dyDescent="0.2">
      <c r="C4723" s="180"/>
    </row>
    <row r="4724" spans="3:3" s="181" customFormat="1" hidden="1" x14ac:dyDescent="0.2">
      <c r="C4724" s="180"/>
    </row>
    <row r="4725" spans="3:3" s="181" customFormat="1" hidden="1" x14ac:dyDescent="0.2">
      <c r="C4725" s="180"/>
    </row>
    <row r="4726" spans="3:3" s="181" customFormat="1" hidden="1" x14ac:dyDescent="0.2">
      <c r="C4726" s="180"/>
    </row>
    <row r="4727" spans="3:3" s="181" customFormat="1" hidden="1" x14ac:dyDescent="0.2">
      <c r="C4727" s="180"/>
    </row>
    <row r="4728" spans="3:3" s="181" customFormat="1" hidden="1" x14ac:dyDescent="0.2">
      <c r="C4728" s="180"/>
    </row>
    <row r="4729" spans="3:3" s="181" customFormat="1" hidden="1" x14ac:dyDescent="0.2">
      <c r="C4729" s="180"/>
    </row>
    <row r="4730" spans="3:3" s="181" customFormat="1" hidden="1" x14ac:dyDescent="0.2">
      <c r="C4730" s="180"/>
    </row>
    <row r="4731" spans="3:3" s="181" customFormat="1" hidden="1" x14ac:dyDescent="0.2">
      <c r="C4731" s="180"/>
    </row>
    <row r="4732" spans="3:3" s="181" customFormat="1" hidden="1" x14ac:dyDescent="0.2">
      <c r="C4732" s="180"/>
    </row>
    <row r="4733" spans="3:3" s="181" customFormat="1" hidden="1" x14ac:dyDescent="0.2">
      <c r="C4733" s="180"/>
    </row>
    <row r="4734" spans="3:3" s="181" customFormat="1" hidden="1" x14ac:dyDescent="0.2">
      <c r="C4734" s="180"/>
    </row>
    <row r="4735" spans="3:3" s="181" customFormat="1" hidden="1" x14ac:dyDescent="0.2">
      <c r="C4735" s="180"/>
    </row>
    <row r="4736" spans="3:3" s="181" customFormat="1" hidden="1" x14ac:dyDescent="0.2">
      <c r="C4736" s="180"/>
    </row>
    <row r="4737" spans="3:3" s="181" customFormat="1" hidden="1" x14ac:dyDescent="0.2">
      <c r="C4737" s="180"/>
    </row>
    <row r="4738" spans="3:3" s="181" customFormat="1" hidden="1" x14ac:dyDescent="0.2">
      <c r="C4738" s="180"/>
    </row>
    <row r="4739" spans="3:3" s="181" customFormat="1" hidden="1" x14ac:dyDescent="0.2">
      <c r="C4739" s="180"/>
    </row>
    <row r="4740" spans="3:3" s="181" customFormat="1" hidden="1" x14ac:dyDescent="0.2">
      <c r="C4740" s="180"/>
    </row>
    <row r="4741" spans="3:3" s="181" customFormat="1" hidden="1" x14ac:dyDescent="0.2">
      <c r="C4741" s="180"/>
    </row>
    <row r="4742" spans="3:3" s="181" customFormat="1" hidden="1" x14ac:dyDescent="0.2">
      <c r="C4742" s="180"/>
    </row>
    <row r="4743" spans="3:3" s="181" customFormat="1" hidden="1" x14ac:dyDescent="0.2">
      <c r="C4743" s="180"/>
    </row>
    <row r="4744" spans="3:3" s="181" customFormat="1" hidden="1" x14ac:dyDescent="0.2">
      <c r="C4744" s="180"/>
    </row>
    <row r="4745" spans="3:3" s="181" customFormat="1" hidden="1" x14ac:dyDescent="0.2">
      <c r="C4745" s="180"/>
    </row>
    <row r="4746" spans="3:3" s="181" customFormat="1" hidden="1" x14ac:dyDescent="0.2">
      <c r="C4746" s="180"/>
    </row>
    <row r="4747" spans="3:3" s="181" customFormat="1" hidden="1" x14ac:dyDescent="0.2">
      <c r="C4747" s="180"/>
    </row>
    <row r="4748" spans="3:3" s="181" customFormat="1" hidden="1" x14ac:dyDescent="0.2">
      <c r="C4748" s="180"/>
    </row>
    <row r="4749" spans="3:3" s="181" customFormat="1" hidden="1" x14ac:dyDescent="0.2">
      <c r="C4749" s="180"/>
    </row>
    <row r="4750" spans="3:3" s="181" customFormat="1" hidden="1" x14ac:dyDescent="0.2">
      <c r="C4750" s="180"/>
    </row>
    <row r="4751" spans="3:3" s="181" customFormat="1" hidden="1" x14ac:dyDescent="0.2">
      <c r="C4751" s="180"/>
    </row>
    <row r="4752" spans="3:3" s="181" customFormat="1" hidden="1" x14ac:dyDescent="0.2">
      <c r="C4752" s="180"/>
    </row>
    <row r="4753" spans="3:3" s="181" customFormat="1" hidden="1" x14ac:dyDescent="0.2">
      <c r="C4753" s="180"/>
    </row>
    <row r="4754" spans="3:3" s="181" customFormat="1" hidden="1" x14ac:dyDescent="0.2">
      <c r="C4754" s="180"/>
    </row>
    <row r="4755" spans="3:3" s="181" customFormat="1" hidden="1" x14ac:dyDescent="0.2">
      <c r="C4755" s="180"/>
    </row>
    <row r="4756" spans="3:3" s="181" customFormat="1" hidden="1" x14ac:dyDescent="0.2">
      <c r="C4756" s="180"/>
    </row>
    <row r="4757" spans="3:3" s="181" customFormat="1" hidden="1" x14ac:dyDescent="0.2">
      <c r="C4757" s="180"/>
    </row>
    <row r="4758" spans="3:3" s="181" customFormat="1" hidden="1" x14ac:dyDescent="0.2">
      <c r="C4758" s="180"/>
    </row>
    <row r="4759" spans="3:3" s="181" customFormat="1" hidden="1" x14ac:dyDescent="0.2">
      <c r="C4759" s="180"/>
    </row>
    <row r="4760" spans="3:3" s="181" customFormat="1" hidden="1" x14ac:dyDescent="0.2">
      <c r="C4760" s="180"/>
    </row>
    <row r="4761" spans="3:3" s="181" customFormat="1" hidden="1" x14ac:dyDescent="0.2">
      <c r="C4761" s="180"/>
    </row>
    <row r="4762" spans="3:3" s="181" customFormat="1" hidden="1" x14ac:dyDescent="0.2">
      <c r="C4762" s="180"/>
    </row>
    <row r="4763" spans="3:3" s="181" customFormat="1" hidden="1" x14ac:dyDescent="0.2">
      <c r="C4763" s="180"/>
    </row>
    <row r="4764" spans="3:3" s="181" customFormat="1" hidden="1" x14ac:dyDescent="0.2">
      <c r="C4764" s="180"/>
    </row>
    <row r="4765" spans="3:3" s="181" customFormat="1" hidden="1" x14ac:dyDescent="0.2">
      <c r="C4765" s="180"/>
    </row>
    <row r="4766" spans="3:3" s="181" customFormat="1" hidden="1" x14ac:dyDescent="0.2">
      <c r="C4766" s="180"/>
    </row>
    <row r="4767" spans="3:3" s="181" customFormat="1" hidden="1" x14ac:dyDescent="0.2">
      <c r="C4767" s="180"/>
    </row>
    <row r="4768" spans="3:3" s="181" customFormat="1" hidden="1" x14ac:dyDescent="0.2">
      <c r="C4768" s="180"/>
    </row>
    <row r="4769" spans="3:3" s="181" customFormat="1" hidden="1" x14ac:dyDescent="0.2">
      <c r="C4769" s="180"/>
    </row>
    <row r="4770" spans="3:3" s="181" customFormat="1" hidden="1" x14ac:dyDescent="0.2">
      <c r="C4770" s="180"/>
    </row>
    <row r="4771" spans="3:3" s="181" customFormat="1" hidden="1" x14ac:dyDescent="0.2">
      <c r="C4771" s="180"/>
    </row>
    <row r="4772" spans="3:3" s="181" customFormat="1" hidden="1" x14ac:dyDescent="0.2">
      <c r="C4772" s="180"/>
    </row>
    <row r="4773" spans="3:3" s="181" customFormat="1" hidden="1" x14ac:dyDescent="0.2">
      <c r="C4773" s="180"/>
    </row>
    <row r="4774" spans="3:3" s="181" customFormat="1" hidden="1" x14ac:dyDescent="0.2">
      <c r="C4774" s="180"/>
    </row>
    <row r="4775" spans="3:3" s="181" customFormat="1" hidden="1" x14ac:dyDescent="0.2">
      <c r="C4775" s="180"/>
    </row>
    <row r="4776" spans="3:3" s="181" customFormat="1" hidden="1" x14ac:dyDescent="0.2">
      <c r="C4776" s="180"/>
    </row>
    <row r="4777" spans="3:3" s="181" customFormat="1" hidden="1" x14ac:dyDescent="0.2">
      <c r="C4777" s="180"/>
    </row>
    <row r="4778" spans="3:3" s="181" customFormat="1" hidden="1" x14ac:dyDescent="0.2">
      <c r="C4778" s="180"/>
    </row>
    <row r="4779" spans="3:3" s="181" customFormat="1" hidden="1" x14ac:dyDescent="0.2">
      <c r="C4779" s="180"/>
    </row>
    <row r="4780" spans="3:3" s="181" customFormat="1" hidden="1" x14ac:dyDescent="0.2">
      <c r="C4780" s="180"/>
    </row>
    <row r="4781" spans="3:3" s="181" customFormat="1" hidden="1" x14ac:dyDescent="0.2">
      <c r="C4781" s="180"/>
    </row>
    <row r="4782" spans="3:3" s="181" customFormat="1" hidden="1" x14ac:dyDescent="0.2">
      <c r="C4782" s="180"/>
    </row>
    <row r="4783" spans="3:3" s="181" customFormat="1" hidden="1" x14ac:dyDescent="0.2">
      <c r="C4783" s="180"/>
    </row>
    <row r="4784" spans="3:3" s="181" customFormat="1" hidden="1" x14ac:dyDescent="0.2">
      <c r="C4784" s="180"/>
    </row>
    <row r="4785" spans="3:3" s="181" customFormat="1" hidden="1" x14ac:dyDescent="0.2">
      <c r="C4785" s="180"/>
    </row>
    <row r="4786" spans="3:3" s="181" customFormat="1" hidden="1" x14ac:dyDescent="0.2">
      <c r="C4786" s="180"/>
    </row>
    <row r="4787" spans="3:3" s="181" customFormat="1" hidden="1" x14ac:dyDescent="0.2">
      <c r="C4787" s="180"/>
    </row>
    <row r="4788" spans="3:3" s="181" customFormat="1" hidden="1" x14ac:dyDescent="0.2">
      <c r="C4788" s="180"/>
    </row>
    <row r="4789" spans="3:3" s="181" customFormat="1" hidden="1" x14ac:dyDescent="0.2">
      <c r="C4789" s="180"/>
    </row>
    <row r="4790" spans="3:3" s="181" customFormat="1" hidden="1" x14ac:dyDescent="0.2">
      <c r="C4790" s="180"/>
    </row>
    <row r="4791" spans="3:3" s="181" customFormat="1" hidden="1" x14ac:dyDescent="0.2">
      <c r="C4791" s="180"/>
    </row>
    <row r="4792" spans="3:3" s="181" customFormat="1" hidden="1" x14ac:dyDescent="0.2">
      <c r="C4792" s="180"/>
    </row>
    <row r="4793" spans="3:3" s="181" customFormat="1" hidden="1" x14ac:dyDescent="0.2">
      <c r="C4793" s="180"/>
    </row>
    <row r="4794" spans="3:3" s="181" customFormat="1" hidden="1" x14ac:dyDescent="0.2">
      <c r="C4794" s="180"/>
    </row>
    <row r="4795" spans="3:3" s="181" customFormat="1" hidden="1" x14ac:dyDescent="0.2">
      <c r="C4795" s="180"/>
    </row>
    <row r="4796" spans="3:3" s="181" customFormat="1" hidden="1" x14ac:dyDescent="0.2">
      <c r="C4796" s="180"/>
    </row>
    <row r="4797" spans="3:3" s="181" customFormat="1" hidden="1" x14ac:dyDescent="0.2">
      <c r="C4797" s="180"/>
    </row>
    <row r="4798" spans="3:3" s="181" customFormat="1" hidden="1" x14ac:dyDescent="0.2">
      <c r="C4798" s="180"/>
    </row>
    <row r="4799" spans="3:3" s="181" customFormat="1" hidden="1" x14ac:dyDescent="0.2">
      <c r="C4799" s="180"/>
    </row>
    <row r="4800" spans="3:3" s="181" customFormat="1" hidden="1" x14ac:dyDescent="0.2">
      <c r="C4800" s="180"/>
    </row>
    <row r="4801" spans="3:3" s="181" customFormat="1" hidden="1" x14ac:dyDescent="0.2">
      <c r="C4801" s="180"/>
    </row>
    <row r="4802" spans="3:3" s="181" customFormat="1" hidden="1" x14ac:dyDescent="0.2">
      <c r="C4802" s="180"/>
    </row>
    <row r="4803" spans="3:3" s="181" customFormat="1" hidden="1" x14ac:dyDescent="0.2">
      <c r="C4803" s="180"/>
    </row>
    <row r="4804" spans="3:3" s="181" customFormat="1" hidden="1" x14ac:dyDescent="0.2">
      <c r="C4804" s="180"/>
    </row>
    <row r="4805" spans="3:3" s="181" customFormat="1" hidden="1" x14ac:dyDescent="0.2">
      <c r="C4805" s="180"/>
    </row>
    <row r="4806" spans="3:3" s="181" customFormat="1" hidden="1" x14ac:dyDescent="0.2">
      <c r="C4806" s="180"/>
    </row>
    <row r="4807" spans="3:3" s="181" customFormat="1" hidden="1" x14ac:dyDescent="0.2">
      <c r="C4807" s="180"/>
    </row>
    <row r="4808" spans="3:3" s="181" customFormat="1" hidden="1" x14ac:dyDescent="0.2">
      <c r="C4808" s="180"/>
    </row>
    <row r="4809" spans="3:3" s="181" customFormat="1" hidden="1" x14ac:dyDescent="0.2">
      <c r="C4809" s="180"/>
    </row>
    <row r="4810" spans="3:3" s="181" customFormat="1" hidden="1" x14ac:dyDescent="0.2">
      <c r="C4810" s="180"/>
    </row>
    <row r="4811" spans="3:3" s="181" customFormat="1" hidden="1" x14ac:dyDescent="0.2">
      <c r="C4811" s="180"/>
    </row>
    <row r="4812" spans="3:3" s="181" customFormat="1" hidden="1" x14ac:dyDescent="0.2">
      <c r="C4812" s="180"/>
    </row>
    <row r="4813" spans="3:3" s="181" customFormat="1" hidden="1" x14ac:dyDescent="0.2">
      <c r="C4813" s="180"/>
    </row>
    <row r="4814" spans="3:3" s="181" customFormat="1" hidden="1" x14ac:dyDescent="0.2">
      <c r="C4814" s="180"/>
    </row>
    <row r="4815" spans="3:3" s="181" customFormat="1" hidden="1" x14ac:dyDescent="0.2">
      <c r="C4815" s="180"/>
    </row>
    <row r="4816" spans="3:3" s="181" customFormat="1" hidden="1" x14ac:dyDescent="0.2">
      <c r="C4816" s="180"/>
    </row>
    <row r="4817" spans="3:3" s="181" customFormat="1" hidden="1" x14ac:dyDescent="0.2">
      <c r="C4817" s="180"/>
    </row>
    <row r="4818" spans="3:3" s="181" customFormat="1" hidden="1" x14ac:dyDescent="0.2">
      <c r="C4818" s="180"/>
    </row>
    <row r="4819" spans="3:3" s="181" customFormat="1" hidden="1" x14ac:dyDescent="0.2">
      <c r="C4819" s="180"/>
    </row>
    <row r="4820" spans="3:3" s="181" customFormat="1" hidden="1" x14ac:dyDescent="0.2">
      <c r="C4820" s="180"/>
    </row>
    <row r="4821" spans="3:3" s="181" customFormat="1" hidden="1" x14ac:dyDescent="0.2">
      <c r="C4821" s="180"/>
    </row>
    <row r="4822" spans="3:3" s="181" customFormat="1" hidden="1" x14ac:dyDescent="0.2">
      <c r="C4822" s="180"/>
    </row>
    <row r="4823" spans="3:3" s="181" customFormat="1" hidden="1" x14ac:dyDescent="0.2">
      <c r="C4823" s="180"/>
    </row>
    <row r="4824" spans="3:3" s="181" customFormat="1" hidden="1" x14ac:dyDescent="0.2">
      <c r="C4824" s="180"/>
    </row>
    <row r="4825" spans="3:3" s="181" customFormat="1" hidden="1" x14ac:dyDescent="0.2">
      <c r="C4825" s="180"/>
    </row>
    <row r="4826" spans="3:3" s="181" customFormat="1" hidden="1" x14ac:dyDescent="0.2">
      <c r="C4826" s="180"/>
    </row>
    <row r="4827" spans="3:3" s="181" customFormat="1" hidden="1" x14ac:dyDescent="0.2">
      <c r="C4827" s="180"/>
    </row>
    <row r="4828" spans="3:3" s="181" customFormat="1" hidden="1" x14ac:dyDescent="0.2">
      <c r="C4828" s="180"/>
    </row>
    <row r="4829" spans="3:3" s="181" customFormat="1" hidden="1" x14ac:dyDescent="0.2">
      <c r="C4829" s="180"/>
    </row>
    <row r="4830" spans="3:3" s="181" customFormat="1" hidden="1" x14ac:dyDescent="0.2">
      <c r="C4830" s="180"/>
    </row>
    <row r="4831" spans="3:3" s="181" customFormat="1" hidden="1" x14ac:dyDescent="0.2">
      <c r="C4831" s="180"/>
    </row>
    <row r="4832" spans="3:3" s="181" customFormat="1" hidden="1" x14ac:dyDescent="0.2">
      <c r="C4832" s="180"/>
    </row>
    <row r="4833" spans="3:3" s="181" customFormat="1" hidden="1" x14ac:dyDescent="0.2">
      <c r="C4833" s="180"/>
    </row>
    <row r="4834" spans="3:3" s="181" customFormat="1" hidden="1" x14ac:dyDescent="0.2">
      <c r="C4834" s="180"/>
    </row>
    <row r="4835" spans="3:3" s="181" customFormat="1" hidden="1" x14ac:dyDescent="0.2">
      <c r="C4835" s="180"/>
    </row>
    <row r="4836" spans="3:3" s="181" customFormat="1" hidden="1" x14ac:dyDescent="0.2">
      <c r="C4836" s="180"/>
    </row>
    <row r="4837" spans="3:3" s="181" customFormat="1" hidden="1" x14ac:dyDescent="0.2">
      <c r="C4837" s="180"/>
    </row>
    <row r="4838" spans="3:3" s="181" customFormat="1" hidden="1" x14ac:dyDescent="0.2">
      <c r="C4838" s="180"/>
    </row>
    <row r="4839" spans="3:3" s="181" customFormat="1" hidden="1" x14ac:dyDescent="0.2">
      <c r="C4839" s="180"/>
    </row>
    <row r="4840" spans="3:3" s="181" customFormat="1" hidden="1" x14ac:dyDescent="0.2">
      <c r="C4840" s="180"/>
    </row>
    <row r="4841" spans="3:3" s="181" customFormat="1" hidden="1" x14ac:dyDescent="0.2">
      <c r="C4841" s="180"/>
    </row>
    <row r="4842" spans="3:3" s="181" customFormat="1" hidden="1" x14ac:dyDescent="0.2">
      <c r="C4842" s="180"/>
    </row>
    <row r="4843" spans="3:3" s="181" customFormat="1" hidden="1" x14ac:dyDescent="0.2">
      <c r="C4843" s="180"/>
    </row>
    <row r="4844" spans="3:3" s="181" customFormat="1" hidden="1" x14ac:dyDescent="0.2">
      <c r="C4844" s="180"/>
    </row>
    <row r="4845" spans="3:3" s="181" customFormat="1" hidden="1" x14ac:dyDescent="0.2">
      <c r="C4845" s="180"/>
    </row>
    <row r="4846" spans="3:3" s="181" customFormat="1" hidden="1" x14ac:dyDescent="0.2">
      <c r="C4846" s="180"/>
    </row>
    <row r="4847" spans="3:3" s="181" customFormat="1" hidden="1" x14ac:dyDescent="0.2">
      <c r="C4847" s="180"/>
    </row>
    <row r="4848" spans="3:3" s="181" customFormat="1" hidden="1" x14ac:dyDescent="0.2">
      <c r="C4848" s="180"/>
    </row>
    <row r="4849" spans="3:3" s="181" customFormat="1" hidden="1" x14ac:dyDescent="0.2">
      <c r="C4849" s="180"/>
    </row>
    <row r="4850" spans="3:3" s="181" customFormat="1" hidden="1" x14ac:dyDescent="0.2">
      <c r="C4850" s="180"/>
    </row>
    <row r="4851" spans="3:3" s="181" customFormat="1" hidden="1" x14ac:dyDescent="0.2">
      <c r="C4851" s="180"/>
    </row>
    <row r="4852" spans="3:3" s="181" customFormat="1" hidden="1" x14ac:dyDescent="0.2">
      <c r="C4852" s="180"/>
    </row>
    <row r="4853" spans="3:3" s="181" customFormat="1" hidden="1" x14ac:dyDescent="0.2">
      <c r="C4853" s="180"/>
    </row>
    <row r="4854" spans="3:3" s="181" customFormat="1" hidden="1" x14ac:dyDescent="0.2">
      <c r="C4854" s="180"/>
    </row>
    <row r="4855" spans="3:3" s="181" customFormat="1" hidden="1" x14ac:dyDescent="0.2">
      <c r="C4855" s="180"/>
    </row>
    <row r="4856" spans="3:3" s="181" customFormat="1" hidden="1" x14ac:dyDescent="0.2">
      <c r="C4856" s="180"/>
    </row>
    <row r="4857" spans="3:3" s="181" customFormat="1" hidden="1" x14ac:dyDescent="0.2">
      <c r="C4857" s="180"/>
    </row>
    <row r="4858" spans="3:3" s="181" customFormat="1" hidden="1" x14ac:dyDescent="0.2">
      <c r="C4858" s="180"/>
    </row>
    <row r="4859" spans="3:3" s="181" customFormat="1" hidden="1" x14ac:dyDescent="0.2">
      <c r="C4859" s="180"/>
    </row>
    <row r="4860" spans="3:3" s="181" customFormat="1" hidden="1" x14ac:dyDescent="0.2">
      <c r="C4860" s="180"/>
    </row>
    <row r="4861" spans="3:3" s="181" customFormat="1" hidden="1" x14ac:dyDescent="0.2">
      <c r="C4861" s="180"/>
    </row>
    <row r="4862" spans="3:3" s="181" customFormat="1" hidden="1" x14ac:dyDescent="0.2">
      <c r="C4862" s="180"/>
    </row>
    <row r="4863" spans="3:3" s="181" customFormat="1" hidden="1" x14ac:dyDescent="0.2">
      <c r="C4863" s="180"/>
    </row>
    <row r="4864" spans="3:3" s="181" customFormat="1" hidden="1" x14ac:dyDescent="0.2">
      <c r="C4864" s="180"/>
    </row>
    <row r="4865" spans="3:3" s="181" customFormat="1" hidden="1" x14ac:dyDescent="0.2">
      <c r="C4865" s="180"/>
    </row>
    <row r="4866" spans="3:3" s="181" customFormat="1" hidden="1" x14ac:dyDescent="0.2">
      <c r="C4866" s="180"/>
    </row>
    <row r="4867" spans="3:3" s="181" customFormat="1" hidden="1" x14ac:dyDescent="0.2">
      <c r="C4867" s="180"/>
    </row>
    <row r="4868" spans="3:3" s="181" customFormat="1" hidden="1" x14ac:dyDescent="0.2">
      <c r="C4868" s="180"/>
    </row>
    <row r="4869" spans="3:3" s="181" customFormat="1" hidden="1" x14ac:dyDescent="0.2">
      <c r="C4869" s="180"/>
    </row>
    <row r="4870" spans="3:3" s="181" customFormat="1" hidden="1" x14ac:dyDescent="0.2">
      <c r="C4870" s="180"/>
    </row>
    <row r="4871" spans="3:3" s="181" customFormat="1" hidden="1" x14ac:dyDescent="0.2">
      <c r="C4871" s="180"/>
    </row>
    <row r="4872" spans="3:3" s="181" customFormat="1" hidden="1" x14ac:dyDescent="0.2">
      <c r="C4872" s="180"/>
    </row>
    <row r="4873" spans="3:3" s="181" customFormat="1" hidden="1" x14ac:dyDescent="0.2">
      <c r="C4873" s="180"/>
    </row>
    <row r="4874" spans="3:3" s="181" customFormat="1" hidden="1" x14ac:dyDescent="0.2">
      <c r="C4874" s="180"/>
    </row>
    <row r="4875" spans="3:3" s="181" customFormat="1" hidden="1" x14ac:dyDescent="0.2">
      <c r="C4875" s="180"/>
    </row>
    <row r="4876" spans="3:3" s="181" customFormat="1" hidden="1" x14ac:dyDescent="0.2">
      <c r="C4876" s="180"/>
    </row>
    <row r="4877" spans="3:3" s="181" customFormat="1" hidden="1" x14ac:dyDescent="0.2">
      <c r="C4877" s="180"/>
    </row>
    <row r="4878" spans="3:3" s="181" customFormat="1" hidden="1" x14ac:dyDescent="0.2">
      <c r="C4878" s="180"/>
    </row>
    <row r="4879" spans="3:3" s="181" customFormat="1" hidden="1" x14ac:dyDescent="0.2">
      <c r="C4879" s="180"/>
    </row>
    <row r="4880" spans="3:3" s="181" customFormat="1" hidden="1" x14ac:dyDescent="0.2">
      <c r="C4880" s="180"/>
    </row>
    <row r="4881" spans="3:3" s="181" customFormat="1" hidden="1" x14ac:dyDescent="0.2">
      <c r="C4881" s="180"/>
    </row>
    <row r="4882" spans="3:3" s="181" customFormat="1" hidden="1" x14ac:dyDescent="0.2">
      <c r="C4882" s="180"/>
    </row>
    <row r="4883" spans="3:3" s="181" customFormat="1" hidden="1" x14ac:dyDescent="0.2">
      <c r="C4883" s="180"/>
    </row>
    <row r="4884" spans="3:3" s="181" customFormat="1" hidden="1" x14ac:dyDescent="0.2">
      <c r="C4884" s="180"/>
    </row>
    <row r="4885" spans="3:3" s="181" customFormat="1" hidden="1" x14ac:dyDescent="0.2">
      <c r="C4885" s="180"/>
    </row>
    <row r="4886" spans="3:3" s="181" customFormat="1" hidden="1" x14ac:dyDescent="0.2">
      <c r="C4886" s="180"/>
    </row>
    <row r="4887" spans="3:3" s="181" customFormat="1" hidden="1" x14ac:dyDescent="0.2">
      <c r="C4887" s="180"/>
    </row>
    <row r="4888" spans="3:3" s="181" customFormat="1" hidden="1" x14ac:dyDescent="0.2">
      <c r="C4888" s="180"/>
    </row>
    <row r="4889" spans="3:3" s="181" customFormat="1" hidden="1" x14ac:dyDescent="0.2">
      <c r="C4889" s="180"/>
    </row>
    <row r="4890" spans="3:3" s="181" customFormat="1" hidden="1" x14ac:dyDescent="0.2">
      <c r="C4890" s="180"/>
    </row>
    <row r="4891" spans="3:3" s="181" customFormat="1" hidden="1" x14ac:dyDescent="0.2">
      <c r="C4891" s="180"/>
    </row>
    <row r="4892" spans="3:3" s="181" customFormat="1" hidden="1" x14ac:dyDescent="0.2">
      <c r="C4892" s="180"/>
    </row>
    <row r="4893" spans="3:3" s="181" customFormat="1" hidden="1" x14ac:dyDescent="0.2">
      <c r="C4893" s="180"/>
    </row>
    <row r="4894" spans="3:3" s="181" customFormat="1" hidden="1" x14ac:dyDescent="0.2">
      <c r="C4894" s="180"/>
    </row>
    <row r="4895" spans="3:3" s="181" customFormat="1" hidden="1" x14ac:dyDescent="0.2">
      <c r="C4895" s="180"/>
    </row>
    <row r="4896" spans="3:3" s="181" customFormat="1" hidden="1" x14ac:dyDescent="0.2">
      <c r="C4896" s="180"/>
    </row>
    <row r="4897" spans="3:3" s="181" customFormat="1" hidden="1" x14ac:dyDescent="0.2">
      <c r="C4897" s="180"/>
    </row>
    <row r="4898" spans="3:3" s="181" customFormat="1" hidden="1" x14ac:dyDescent="0.2">
      <c r="C4898" s="180"/>
    </row>
    <row r="4899" spans="3:3" s="181" customFormat="1" hidden="1" x14ac:dyDescent="0.2">
      <c r="C4899" s="180"/>
    </row>
    <row r="4900" spans="3:3" s="181" customFormat="1" hidden="1" x14ac:dyDescent="0.2">
      <c r="C4900" s="180"/>
    </row>
    <row r="4901" spans="3:3" s="181" customFormat="1" hidden="1" x14ac:dyDescent="0.2">
      <c r="C4901" s="180"/>
    </row>
    <row r="4902" spans="3:3" s="181" customFormat="1" hidden="1" x14ac:dyDescent="0.2">
      <c r="C4902" s="180"/>
    </row>
    <row r="4903" spans="3:3" s="181" customFormat="1" hidden="1" x14ac:dyDescent="0.2">
      <c r="C4903" s="180"/>
    </row>
    <row r="4904" spans="3:3" s="181" customFormat="1" hidden="1" x14ac:dyDescent="0.2">
      <c r="C4904" s="180"/>
    </row>
    <row r="4905" spans="3:3" s="181" customFormat="1" hidden="1" x14ac:dyDescent="0.2">
      <c r="C4905" s="180"/>
    </row>
    <row r="4906" spans="3:3" s="181" customFormat="1" hidden="1" x14ac:dyDescent="0.2">
      <c r="C4906" s="180"/>
    </row>
    <row r="4907" spans="3:3" s="181" customFormat="1" hidden="1" x14ac:dyDescent="0.2">
      <c r="C4907" s="180"/>
    </row>
    <row r="4908" spans="3:3" s="181" customFormat="1" hidden="1" x14ac:dyDescent="0.2">
      <c r="C4908" s="180"/>
    </row>
    <row r="4909" spans="3:3" s="181" customFormat="1" hidden="1" x14ac:dyDescent="0.2">
      <c r="C4909" s="180"/>
    </row>
    <row r="4910" spans="3:3" s="181" customFormat="1" hidden="1" x14ac:dyDescent="0.2">
      <c r="C4910" s="180"/>
    </row>
    <row r="4911" spans="3:3" s="181" customFormat="1" hidden="1" x14ac:dyDescent="0.2">
      <c r="C4911" s="180"/>
    </row>
    <row r="4912" spans="3:3" s="181" customFormat="1" hidden="1" x14ac:dyDescent="0.2">
      <c r="C4912" s="180"/>
    </row>
    <row r="4913" spans="3:3" s="181" customFormat="1" hidden="1" x14ac:dyDescent="0.2">
      <c r="C4913" s="180"/>
    </row>
    <row r="4914" spans="3:3" s="181" customFormat="1" hidden="1" x14ac:dyDescent="0.2">
      <c r="C4914" s="180"/>
    </row>
    <row r="4915" spans="3:3" s="181" customFormat="1" hidden="1" x14ac:dyDescent="0.2">
      <c r="C4915" s="180"/>
    </row>
    <row r="4916" spans="3:3" s="181" customFormat="1" hidden="1" x14ac:dyDescent="0.2">
      <c r="C4916" s="180"/>
    </row>
    <row r="4917" spans="3:3" s="181" customFormat="1" hidden="1" x14ac:dyDescent="0.2">
      <c r="C4917" s="180"/>
    </row>
    <row r="4918" spans="3:3" s="181" customFormat="1" hidden="1" x14ac:dyDescent="0.2">
      <c r="C4918" s="180"/>
    </row>
    <row r="4919" spans="3:3" s="181" customFormat="1" hidden="1" x14ac:dyDescent="0.2">
      <c r="C4919" s="180"/>
    </row>
    <row r="4920" spans="3:3" s="181" customFormat="1" hidden="1" x14ac:dyDescent="0.2">
      <c r="C4920" s="180"/>
    </row>
    <row r="4921" spans="3:3" s="181" customFormat="1" hidden="1" x14ac:dyDescent="0.2">
      <c r="C4921" s="180"/>
    </row>
    <row r="4922" spans="3:3" s="181" customFormat="1" hidden="1" x14ac:dyDescent="0.2">
      <c r="C4922" s="180"/>
    </row>
    <row r="4923" spans="3:3" s="181" customFormat="1" hidden="1" x14ac:dyDescent="0.2">
      <c r="C4923" s="180"/>
    </row>
    <row r="4924" spans="3:3" s="181" customFormat="1" hidden="1" x14ac:dyDescent="0.2">
      <c r="C4924" s="180"/>
    </row>
    <row r="4925" spans="3:3" s="181" customFormat="1" hidden="1" x14ac:dyDescent="0.2">
      <c r="C4925" s="180"/>
    </row>
    <row r="4926" spans="3:3" s="181" customFormat="1" hidden="1" x14ac:dyDescent="0.2">
      <c r="C4926" s="180"/>
    </row>
    <row r="4927" spans="3:3" s="181" customFormat="1" hidden="1" x14ac:dyDescent="0.2">
      <c r="C4927" s="180"/>
    </row>
    <row r="4928" spans="3:3" s="181" customFormat="1" hidden="1" x14ac:dyDescent="0.2">
      <c r="C4928" s="180"/>
    </row>
    <row r="4929" spans="3:3" s="181" customFormat="1" hidden="1" x14ac:dyDescent="0.2">
      <c r="C4929" s="180"/>
    </row>
    <row r="4930" spans="3:3" s="181" customFormat="1" hidden="1" x14ac:dyDescent="0.2">
      <c r="C4930" s="180"/>
    </row>
    <row r="4931" spans="3:3" s="181" customFormat="1" hidden="1" x14ac:dyDescent="0.2">
      <c r="C4931" s="180"/>
    </row>
    <row r="4932" spans="3:3" s="181" customFormat="1" hidden="1" x14ac:dyDescent="0.2">
      <c r="C4932" s="180"/>
    </row>
    <row r="4933" spans="3:3" s="181" customFormat="1" hidden="1" x14ac:dyDescent="0.2">
      <c r="C4933" s="180"/>
    </row>
    <row r="4934" spans="3:3" s="181" customFormat="1" hidden="1" x14ac:dyDescent="0.2">
      <c r="C4934" s="180"/>
    </row>
    <row r="4935" spans="3:3" s="181" customFormat="1" hidden="1" x14ac:dyDescent="0.2">
      <c r="C4935" s="180"/>
    </row>
    <row r="4936" spans="3:3" s="181" customFormat="1" hidden="1" x14ac:dyDescent="0.2">
      <c r="C4936" s="180"/>
    </row>
    <row r="4937" spans="3:3" s="181" customFormat="1" hidden="1" x14ac:dyDescent="0.2">
      <c r="C4937" s="180"/>
    </row>
    <row r="4938" spans="3:3" s="181" customFormat="1" hidden="1" x14ac:dyDescent="0.2">
      <c r="C4938" s="180"/>
    </row>
    <row r="4939" spans="3:3" s="181" customFormat="1" hidden="1" x14ac:dyDescent="0.2">
      <c r="C4939" s="180"/>
    </row>
    <row r="4940" spans="3:3" s="181" customFormat="1" hidden="1" x14ac:dyDescent="0.2">
      <c r="C4940" s="180"/>
    </row>
    <row r="4941" spans="3:3" s="181" customFormat="1" hidden="1" x14ac:dyDescent="0.2">
      <c r="C4941" s="180"/>
    </row>
    <row r="4942" spans="3:3" s="181" customFormat="1" hidden="1" x14ac:dyDescent="0.2">
      <c r="C4942" s="180"/>
    </row>
    <row r="4943" spans="3:3" s="181" customFormat="1" hidden="1" x14ac:dyDescent="0.2">
      <c r="C4943" s="180"/>
    </row>
    <row r="4944" spans="3:3" s="181" customFormat="1" hidden="1" x14ac:dyDescent="0.2">
      <c r="C4944" s="180"/>
    </row>
    <row r="4945" spans="3:3" s="181" customFormat="1" hidden="1" x14ac:dyDescent="0.2">
      <c r="C4945" s="180"/>
    </row>
    <row r="4946" spans="3:3" s="181" customFormat="1" hidden="1" x14ac:dyDescent="0.2">
      <c r="C4946" s="180"/>
    </row>
    <row r="4947" spans="3:3" s="181" customFormat="1" hidden="1" x14ac:dyDescent="0.2">
      <c r="C4947" s="180"/>
    </row>
    <row r="4948" spans="3:3" s="181" customFormat="1" hidden="1" x14ac:dyDescent="0.2">
      <c r="C4948" s="180"/>
    </row>
    <row r="4949" spans="3:3" s="181" customFormat="1" hidden="1" x14ac:dyDescent="0.2">
      <c r="C4949" s="180"/>
    </row>
    <row r="4950" spans="3:3" s="181" customFormat="1" hidden="1" x14ac:dyDescent="0.2">
      <c r="C4950" s="180"/>
    </row>
    <row r="4951" spans="3:3" s="181" customFormat="1" hidden="1" x14ac:dyDescent="0.2">
      <c r="C4951" s="180"/>
    </row>
    <row r="4952" spans="3:3" s="181" customFormat="1" hidden="1" x14ac:dyDescent="0.2">
      <c r="C4952" s="180"/>
    </row>
    <row r="4953" spans="3:3" s="181" customFormat="1" hidden="1" x14ac:dyDescent="0.2">
      <c r="C4953" s="180"/>
    </row>
    <row r="4954" spans="3:3" s="181" customFormat="1" hidden="1" x14ac:dyDescent="0.2">
      <c r="C4954" s="180"/>
    </row>
    <row r="4955" spans="3:3" s="181" customFormat="1" hidden="1" x14ac:dyDescent="0.2">
      <c r="C4955" s="180"/>
    </row>
    <row r="4956" spans="3:3" s="181" customFormat="1" hidden="1" x14ac:dyDescent="0.2">
      <c r="C4956" s="180"/>
    </row>
    <row r="4957" spans="3:3" s="181" customFormat="1" hidden="1" x14ac:dyDescent="0.2">
      <c r="C4957" s="180"/>
    </row>
    <row r="4958" spans="3:3" s="181" customFormat="1" hidden="1" x14ac:dyDescent="0.2">
      <c r="C4958" s="180"/>
    </row>
    <row r="4959" spans="3:3" s="181" customFormat="1" hidden="1" x14ac:dyDescent="0.2">
      <c r="C4959" s="180"/>
    </row>
    <row r="4960" spans="3:3" s="181" customFormat="1" hidden="1" x14ac:dyDescent="0.2">
      <c r="C4960" s="180"/>
    </row>
    <row r="4961" spans="3:3" s="181" customFormat="1" hidden="1" x14ac:dyDescent="0.2">
      <c r="C4961" s="180"/>
    </row>
    <row r="4962" spans="3:3" s="181" customFormat="1" hidden="1" x14ac:dyDescent="0.2">
      <c r="C4962" s="180"/>
    </row>
    <row r="4963" spans="3:3" s="181" customFormat="1" hidden="1" x14ac:dyDescent="0.2">
      <c r="C4963" s="180"/>
    </row>
    <row r="4964" spans="3:3" s="181" customFormat="1" hidden="1" x14ac:dyDescent="0.2">
      <c r="C4964" s="180"/>
    </row>
    <row r="4965" spans="3:3" s="181" customFormat="1" hidden="1" x14ac:dyDescent="0.2">
      <c r="C4965" s="180"/>
    </row>
    <row r="4966" spans="3:3" s="181" customFormat="1" hidden="1" x14ac:dyDescent="0.2">
      <c r="C4966" s="180"/>
    </row>
    <row r="4967" spans="3:3" s="181" customFormat="1" hidden="1" x14ac:dyDescent="0.2">
      <c r="C4967" s="180"/>
    </row>
    <row r="4968" spans="3:3" s="181" customFormat="1" hidden="1" x14ac:dyDescent="0.2">
      <c r="C4968" s="180"/>
    </row>
    <row r="4969" spans="3:3" s="181" customFormat="1" hidden="1" x14ac:dyDescent="0.2">
      <c r="C4969" s="180"/>
    </row>
    <row r="4970" spans="3:3" s="181" customFormat="1" hidden="1" x14ac:dyDescent="0.2">
      <c r="C4970" s="180"/>
    </row>
    <row r="4971" spans="3:3" s="181" customFormat="1" hidden="1" x14ac:dyDescent="0.2">
      <c r="C4971" s="180"/>
    </row>
    <row r="4972" spans="3:3" s="181" customFormat="1" hidden="1" x14ac:dyDescent="0.2">
      <c r="C4972" s="180"/>
    </row>
    <row r="4973" spans="3:3" s="181" customFormat="1" hidden="1" x14ac:dyDescent="0.2">
      <c r="C4973" s="180"/>
    </row>
    <row r="4974" spans="3:3" s="181" customFormat="1" hidden="1" x14ac:dyDescent="0.2">
      <c r="C4974" s="180"/>
    </row>
    <row r="4975" spans="3:3" s="181" customFormat="1" hidden="1" x14ac:dyDescent="0.2">
      <c r="C4975" s="180"/>
    </row>
    <row r="4976" spans="3:3" s="181" customFormat="1" hidden="1" x14ac:dyDescent="0.2">
      <c r="C4976" s="180"/>
    </row>
    <row r="4977" spans="3:3" s="181" customFormat="1" hidden="1" x14ac:dyDescent="0.2">
      <c r="C4977" s="180"/>
    </row>
    <row r="4978" spans="3:3" s="181" customFormat="1" hidden="1" x14ac:dyDescent="0.2">
      <c r="C4978" s="180"/>
    </row>
    <row r="4979" spans="3:3" s="181" customFormat="1" hidden="1" x14ac:dyDescent="0.2">
      <c r="C4979" s="180"/>
    </row>
    <row r="4980" spans="3:3" s="181" customFormat="1" hidden="1" x14ac:dyDescent="0.2">
      <c r="C4980" s="180"/>
    </row>
    <row r="4981" spans="3:3" s="181" customFormat="1" hidden="1" x14ac:dyDescent="0.2">
      <c r="C4981" s="180"/>
    </row>
    <row r="4982" spans="3:3" s="181" customFormat="1" hidden="1" x14ac:dyDescent="0.2">
      <c r="C4982" s="180"/>
    </row>
    <row r="4983" spans="3:3" s="181" customFormat="1" hidden="1" x14ac:dyDescent="0.2">
      <c r="C4983" s="180"/>
    </row>
    <row r="4984" spans="3:3" s="181" customFormat="1" hidden="1" x14ac:dyDescent="0.2">
      <c r="C4984" s="180"/>
    </row>
    <row r="4985" spans="3:3" s="181" customFormat="1" hidden="1" x14ac:dyDescent="0.2">
      <c r="C4985" s="180"/>
    </row>
    <row r="4986" spans="3:3" s="181" customFormat="1" hidden="1" x14ac:dyDescent="0.2">
      <c r="C4986" s="180"/>
    </row>
    <row r="4987" spans="3:3" s="181" customFormat="1" hidden="1" x14ac:dyDescent="0.2">
      <c r="C4987" s="180"/>
    </row>
    <row r="4988" spans="3:3" s="181" customFormat="1" hidden="1" x14ac:dyDescent="0.2">
      <c r="C4988" s="180"/>
    </row>
    <row r="4989" spans="3:3" s="181" customFormat="1" hidden="1" x14ac:dyDescent="0.2">
      <c r="C4989" s="180"/>
    </row>
    <row r="4990" spans="3:3" s="181" customFormat="1" hidden="1" x14ac:dyDescent="0.2">
      <c r="C4990" s="180"/>
    </row>
    <row r="4991" spans="3:3" s="181" customFormat="1" hidden="1" x14ac:dyDescent="0.2">
      <c r="C4991" s="180"/>
    </row>
    <row r="4992" spans="3:3" s="181" customFormat="1" hidden="1" x14ac:dyDescent="0.2">
      <c r="C4992" s="180"/>
    </row>
    <row r="4993" spans="3:3" s="181" customFormat="1" hidden="1" x14ac:dyDescent="0.2">
      <c r="C4993" s="180"/>
    </row>
    <row r="4994" spans="3:3" s="181" customFormat="1" hidden="1" x14ac:dyDescent="0.2">
      <c r="C4994" s="180"/>
    </row>
    <row r="4995" spans="3:3" s="181" customFormat="1" hidden="1" x14ac:dyDescent="0.2">
      <c r="C4995" s="180"/>
    </row>
    <row r="4996" spans="3:3" s="181" customFormat="1" hidden="1" x14ac:dyDescent="0.2">
      <c r="C4996" s="180"/>
    </row>
    <row r="4997" spans="3:3" s="181" customFormat="1" hidden="1" x14ac:dyDescent="0.2">
      <c r="C4997" s="180"/>
    </row>
    <row r="4998" spans="3:3" s="181" customFormat="1" hidden="1" x14ac:dyDescent="0.2">
      <c r="C4998" s="180"/>
    </row>
    <row r="4999" spans="3:3" s="181" customFormat="1" hidden="1" x14ac:dyDescent="0.2">
      <c r="C4999" s="180"/>
    </row>
    <row r="5000" spans="3:3" s="181" customFormat="1" hidden="1" x14ac:dyDescent="0.2">
      <c r="C5000" s="180"/>
    </row>
    <row r="5001" spans="3:3" s="181" customFormat="1" hidden="1" x14ac:dyDescent="0.2">
      <c r="C5001" s="180"/>
    </row>
    <row r="5002" spans="3:3" s="181" customFormat="1" hidden="1" x14ac:dyDescent="0.2">
      <c r="C5002" s="180"/>
    </row>
    <row r="5003" spans="3:3" s="181" customFormat="1" hidden="1" x14ac:dyDescent="0.2">
      <c r="C5003" s="180"/>
    </row>
    <row r="5004" spans="3:3" s="181" customFormat="1" hidden="1" x14ac:dyDescent="0.2">
      <c r="C5004" s="180"/>
    </row>
    <row r="5005" spans="3:3" s="181" customFormat="1" hidden="1" x14ac:dyDescent="0.2">
      <c r="C5005" s="180"/>
    </row>
    <row r="5006" spans="3:3" s="181" customFormat="1" hidden="1" x14ac:dyDescent="0.2">
      <c r="C5006" s="180"/>
    </row>
    <row r="5007" spans="3:3" s="181" customFormat="1" hidden="1" x14ac:dyDescent="0.2">
      <c r="C5007" s="180"/>
    </row>
    <row r="5008" spans="3:3" s="181" customFormat="1" hidden="1" x14ac:dyDescent="0.2">
      <c r="C5008" s="180"/>
    </row>
    <row r="5009" spans="3:3" s="181" customFormat="1" hidden="1" x14ac:dyDescent="0.2">
      <c r="C5009" s="180"/>
    </row>
    <row r="5010" spans="3:3" s="181" customFormat="1" hidden="1" x14ac:dyDescent="0.2">
      <c r="C5010" s="180"/>
    </row>
    <row r="5011" spans="3:3" s="181" customFormat="1" hidden="1" x14ac:dyDescent="0.2">
      <c r="C5011" s="180"/>
    </row>
    <row r="5012" spans="3:3" s="181" customFormat="1" hidden="1" x14ac:dyDescent="0.2">
      <c r="C5012" s="180"/>
    </row>
    <row r="5013" spans="3:3" s="181" customFormat="1" hidden="1" x14ac:dyDescent="0.2">
      <c r="C5013" s="180"/>
    </row>
    <row r="5014" spans="3:3" s="181" customFormat="1" hidden="1" x14ac:dyDescent="0.2">
      <c r="C5014" s="180"/>
    </row>
    <row r="5015" spans="3:3" s="181" customFormat="1" hidden="1" x14ac:dyDescent="0.2">
      <c r="C5015" s="180"/>
    </row>
    <row r="5016" spans="3:3" s="181" customFormat="1" hidden="1" x14ac:dyDescent="0.2">
      <c r="C5016" s="180"/>
    </row>
    <row r="5017" spans="3:3" s="181" customFormat="1" hidden="1" x14ac:dyDescent="0.2">
      <c r="C5017" s="180"/>
    </row>
    <row r="5018" spans="3:3" s="181" customFormat="1" hidden="1" x14ac:dyDescent="0.2">
      <c r="C5018" s="180"/>
    </row>
    <row r="5019" spans="3:3" s="181" customFormat="1" hidden="1" x14ac:dyDescent="0.2">
      <c r="C5019" s="180"/>
    </row>
    <row r="5020" spans="3:3" s="181" customFormat="1" hidden="1" x14ac:dyDescent="0.2">
      <c r="C5020" s="180"/>
    </row>
    <row r="5021" spans="3:3" s="181" customFormat="1" hidden="1" x14ac:dyDescent="0.2">
      <c r="C5021" s="180"/>
    </row>
    <row r="5022" spans="3:3" s="181" customFormat="1" hidden="1" x14ac:dyDescent="0.2">
      <c r="C5022" s="180"/>
    </row>
    <row r="5023" spans="3:3" s="181" customFormat="1" hidden="1" x14ac:dyDescent="0.2">
      <c r="C5023" s="180"/>
    </row>
    <row r="5024" spans="3:3" s="181" customFormat="1" hidden="1" x14ac:dyDescent="0.2">
      <c r="C5024" s="180"/>
    </row>
    <row r="5025" spans="3:3" s="181" customFormat="1" hidden="1" x14ac:dyDescent="0.2">
      <c r="C5025" s="180"/>
    </row>
    <row r="5026" spans="3:3" s="181" customFormat="1" hidden="1" x14ac:dyDescent="0.2">
      <c r="C5026" s="180"/>
    </row>
    <row r="5027" spans="3:3" s="181" customFormat="1" hidden="1" x14ac:dyDescent="0.2">
      <c r="C5027" s="180"/>
    </row>
    <row r="5028" spans="3:3" s="181" customFormat="1" hidden="1" x14ac:dyDescent="0.2">
      <c r="C5028" s="180"/>
    </row>
    <row r="5029" spans="3:3" s="181" customFormat="1" hidden="1" x14ac:dyDescent="0.2">
      <c r="C5029" s="180"/>
    </row>
    <row r="5030" spans="3:3" s="181" customFormat="1" hidden="1" x14ac:dyDescent="0.2">
      <c r="C5030" s="180"/>
    </row>
    <row r="5031" spans="3:3" s="181" customFormat="1" hidden="1" x14ac:dyDescent="0.2">
      <c r="C5031" s="180"/>
    </row>
    <row r="5032" spans="3:3" s="181" customFormat="1" hidden="1" x14ac:dyDescent="0.2">
      <c r="C5032" s="180"/>
    </row>
    <row r="5033" spans="3:3" s="181" customFormat="1" hidden="1" x14ac:dyDescent="0.2">
      <c r="C5033" s="180"/>
    </row>
    <row r="5034" spans="3:3" s="181" customFormat="1" hidden="1" x14ac:dyDescent="0.2">
      <c r="C5034" s="180"/>
    </row>
    <row r="5035" spans="3:3" s="181" customFormat="1" hidden="1" x14ac:dyDescent="0.2">
      <c r="C5035" s="180"/>
    </row>
    <row r="5036" spans="3:3" s="181" customFormat="1" hidden="1" x14ac:dyDescent="0.2">
      <c r="C5036" s="180"/>
    </row>
    <row r="5037" spans="3:3" s="181" customFormat="1" hidden="1" x14ac:dyDescent="0.2">
      <c r="C5037" s="180"/>
    </row>
    <row r="5038" spans="3:3" s="181" customFormat="1" hidden="1" x14ac:dyDescent="0.2">
      <c r="C5038" s="180"/>
    </row>
    <row r="5039" spans="3:3" s="181" customFormat="1" hidden="1" x14ac:dyDescent="0.2">
      <c r="C5039" s="180"/>
    </row>
    <row r="5040" spans="3:3" s="181" customFormat="1" hidden="1" x14ac:dyDescent="0.2">
      <c r="C5040" s="180"/>
    </row>
    <row r="5041" spans="3:3" s="181" customFormat="1" hidden="1" x14ac:dyDescent="0.2">
      <c r="C5041" s="180"/>
    </row>
    <row r="5042" spans="3:3" s="181" customFormat="1" hidden="1" x14ac:dyDescent="0.2">
      <c r="C5042" s="180"/>
    </row>
    <row r="5043" spans="3:3" s="181" customFormat="1" hidden="1" x14ac:dyDescent="0.2">
      <c r="C5043" s="180"/>
    </row>
    <row r="5044" spans="3:3" s="181" customFormat="1" hidden="1" x14ac:dyDescent="0.2">
      <c r="C5044" s="180"/>
    </row>
    <row r="5045" spans="3:3" s="181" customFormat="1" hidden="1" x14ac:dyDescent="0.2">
      <c r="C5045" s="180"/>
    </row>
    <row r="5046" spans="3:3" s="181" customFormat="1" hidden="1" x14ac:dyDescent="0.2">
      <c r="C5046" s="180"/>
    </row>
    <row r="5047" spans="3:3" s="181" customFormat="1" hidden="1" x14ac:dyDescent="0.2">
      <c r="C5047" s="180"/>
    </row>
    <row r="5048" spans="3:3" s="181" customFormat="1" hidden="1" x14ac:dyDescent="0.2">
      <c r="C5048" s="180"/>
    </row>
    <row r="5049" spans="3:3" s="181" customFormat="1" hidden="1" x14ac:dyDescent="0.2">
      <c r="C5049" s="180"/>
    </row>
    <row r="5050" spans="3:3" s="181" customFormat="1" hidden="1" x14ac:dyDescent="0.2">
      <c r="C5050" s="180"/>
    </row>
    <row r="5051" spans="3:3" s="181" customFormat="1" hidden="1" x14ac:dyDescent="0.2">
      <c r="C5051" s="180"/>
    </row>
    <row r="5052" spans="3:3" s="181" customFormat="1" hidden="1" x14ac:dyDescent="0.2">
      <c r="C5052" s="180"/>
    </row>
    <row r="5053" spans="3:3" s="181" customFormat="1" hidden="1" x14ac:dyDescent="0.2">
      <c r="C5053" s="180"/>
    </row>
    <row r="5054" spans="3:3" s="181" customFormat="1" hidden="1" x14ac:dyDescent="0.2">
      <c r="C5054" s="180"/>
    </row>
    <row r="5055" spans="3:3" s="181" customFormat="1" hidden="1" x14ac:dyDescent="0.2">
      <c r="C5055" s="180"/>
    </row>
    <row r="5056" spans="3:3" s="181" customFormat="1" hidden="1" x14ac:dyDescent="0.2">
      <c r="C5056" s="180"/>
    </row>
    <row r="5057" spans="3:3" s="181" customFormat="1" hidden="1" x14ac:dyDescent="0.2">
      <c r="C5057" s="180"/>
    </row>
    <row r="5058" spans="3:3" s="181" customFormat="1" hidden="1" x14ac:dyDescent="0.2">
      <c r="C5058" s="180"/>
    </row>
    <row r="5059" spans="3:3" s="181" customFormat="1" hidden="1" x14ac:dyDescent="0.2">
      <c r="C5059" s="180"/>
    </row>
    <row r="5060" spans="3:3" s="181" customFormat="1" hidden="1" x14ac:dyDescent="0.2">
      <c r="C5060" s="180"/>
    </row>
    <row r="5061" spans="3:3" s="181" customFormat="1" hidden="1" x14ac:dyDescent="0.2">
      <c r="C5061" s="180"/>
    </row>
    <row r="5062" spans="3:3" s="181" customFormat="1" hidden="1" x14ac:dyDescent="0.2">
      <c r="C5062" s="180"/>
    </row>
    <row r="5063" spans="3:3" s="181" customFormat="1" hidden="1" x14ac:dyDescent="0.2">
      <c r="C5063" s="180"/>
    </row>
    <row r="5064" spans="3:3" s="181" customFormat="1" hidden="1" x14ac:dyDescent="0.2">
      <c r="C5064" s="180"/>
    </row>
    <row r="5065" spans="3:3" s="181" customFormat="1" hidden="1" x14ac:dyDescent="0.2">
      <c r="C5065" s="180"/>
    </row>
    <row r="5066" spans="3:3" s="181" customFormat="1" hidden="1" x14ac:dyDescent="0.2">
      <c r="C5066" s="180"/>
    </row>
    <row r="5067" spans="3:3" s="181" customFormat="1" hidden="1" x14ac:dyDescent="0.2">
      <c r="C5067" s="180"/>
    </row>
    <row r="5068" spans="3:3" s="181" customFormat="1" hidden="1" x14ac:dyDescent="0.2">
      <c r="C5068" s="180"/>
    </row>
    <row r="5069" spans="3:3" s="181" customFormat="1" hidden="1" x14ac:dyDescent="0.2">
      <c r="C5069" s="180"/>
    </row>
    <row r="5070" spans="3:3" s="181" customFormat="1" hidden="1" x14ac:dyDescent="0.2">
      <c r="C5070" s="180"/>
    </row>
    <row r="5071" spans="3:3" s="181" customFormat="1" hidden="1" x14ac:dyDescent="0.2">
      <c r="C5071" s="180"/>
    </row>
    <row r="5072" spans="3:3" s="181" customFormat="1" hidden="1" x14ac:dyDescent="0.2">
      <c r="C5072" s="180"/>
    </row>
    <row r="5073" spans="3:3" s="181" customFormat="1" hidden="1" x14ac:dyDescent="0.2">
      <c r="C5073" s="180"/>
    </row>
    <row r="5074" spans="3:3" s="181" customFormat="1" hidden="1" x14ac:dyDescent="0.2">
      <c r="C5074" s="180"/>
    </row>
    <row r="5075" spans="3:3" s="181" customFormat="1" hidden="1" x14ac:dyDescent="0.2">
      <c r="C5075" s="180"/>
    </row>
    <row r="5076" spans="3:3" s="181" customFormat="1" hidden="1" x14ac:dyDescent="0.2">
      <c r="C5076" s="180"/>
    </row>
    <row r="5077" spans="3:3" s="181" customFormat="1" hidden="1" x14ac:dyDescent="0.2">
      <c r="C5077" s="180"/>
    </row>
    <row r="5078" spans="3:3" s="181" customFormat="1" hidden="1" x14ac:dyDescent="0.2">
      <c r="C5078" s="180"/>
    </row>
    <row r="5079" spans="3:3" s="181" customFormat="1" hidden="1" x14ac:dyDescent="0.2">
      <c r="C5079" s="180"/>
    </row>
    <row r="5080" spans="3:3" s="181" customFormat="1" hidden="1" x14ac:dyDescent="0.2">
      <c r="C5080" s="180"/>
    </row>
    <row r="5081" spans="3:3" s="181" customFormat="1" hidden="1" x14ac:dyDescent="0.2">
      <c r="C5081" s="180"/>
    </row>
    <row r="5082" spans="3:3" s="181" customFormat="1" hidden="1" x14ac:dyDescent="0.2">
      <c r="C5082" s="180"/>
    </row>
    <row r="5083" spans="3:3" s="181" customFormat="1" hidden="1" x14ac:dyDescent="0.2">
      <c r="C5083" s="180"/>
    </row>
    <row r="5084" spans="3:3" s="181" customFormat="1" hidden="1" x14ac:dyDescent="0.2">
      <c r="C5084" s="180"/>
    </row>
    <row r="5085" spans="3:3" s="181" customFormat="1" hidden="1" x14ac:dyDescent="0.2">
      <c r="C5085" s="180"/>
    </row>
    <row r="5086" spans="3:3" s="181" customFormat="1" hidden="1" x14ac:dyDescent="0.2">
      <c r="C5086" s="180"/>
    </row>
    <row r="5087" spans="3:3" s="181" customFormat="1" hidden="1" x14ac:dyDescent="0.2">
      <c r="C5087" s="180"/>
    </row>
    <row r="5088" spans="3:3" s="181" customFormat="1" hidden="1" x14ac:dyDescent="0.2">
      <c r="C5088" s="180"/>
    </row>
    <row r="5089" spans="3:3" s="181" customFormat="1" hidden="1" x14ac:dyDescent="0.2">
      <c r="C5089" s="180"/>
    </row>
    <row r="5090" spans="3:3" s="181" customFormat="1" hidden="1" x14ac:dyDescent="0.2">
      <c r="C5090" s="180"/>
    </row>
    <row r="5091" spans="3:3" s="181" customFormat="1" hidden="1" x14ac:dyDescent="0.2">
      <c r="C5091" s="180"/>
    </row>
    <row r="5092" spans="3:3" s="181" customFormat="1" hidden="1" x14ac:dyDescent="0.2">
      <c r="C5092" s="180"/>
    </row>
    <row r="5093" spans="3:3" s="181" customFormat="1" hidden="1" x14ac:dyDescent="0.2">
      <c r="C5093" s="180"/>
    </row>
    <row r="5094" spans="3:3" s="181" customFormat="1" hidden="1" x14ac:dyDescent="0.2">
      <c r="C5094" s="180"/>
    </row>
    <row r="5095" spans="3:3" s="181" customFormat="1" hidden="1" x14ac:dyDescent="0.2">
      <c r="C5095" s="180"/>
    </row>
    <row r="5096" spans="3:3" s="181" customFormat="1" hidden="1" x14ac:dyDescent="0.2">
      <c r="C5096" s="180"/>
    </row>
    <row r="5097" spans="3:3" s="181" customFormat="1" hidden="1" x14ac:dyDescent="0.2">
      <c r="C5097" s="180"/>
    </row>
    <row r="5098" spans="3:3" s="181" customFormat="1" hidden="1" x14ac:dyDescent="0.2">
      <c r="C5098" s="180"/>
    </row>
    <row r="5099" spans="3:3" s="181" customFormat="1" hidden="1" x14ac:dyDescent="0.2">
      <c r="C5099" s="180"/>
    </row>
    <row r="5100" spans="3:3" s="181" customFormat="1" hidden="1" x14ac:dyDescent="0.2">
      <c r="C5100" s="180"/>
    </row>
    <row r="5101" spans="3:3" s="181" customFormat="1" hidden="1" x14ac:dyDescent="0.2">
      <c r="C5101" s="180"/>
    </row>
    <row r="5102" spans="3:3" s="181" customFormat="1" hidden="1" x14ac:dyDescent="0.2">
      <c r="C5102" s="180"/>
    </row>
    <row r="5103" spans="3:3" s="181" customFormat="1" hidden="1" x14ac:dyDescent="0.2">
      <c r="C5103" s="180"/>
    </row>
    <row r="5104" spans="3:3" s="181" customFormat="1" hidden="1" x14ac:dyDescent="0.2">
      <c r="C5104" s="180"/>
    </row>
    <row r="5105" spans="3:3" s="181" customFormat="1" hidden="1" x14ac:dyDescent="0.2">
      <c r="C5105" s="180"/>
    </row>
    <row r="5106" spans="3:3" s="181" customFormat="1" hidden="1" x14ac:dyDescent="0.2">
      <c r="C5106" s="180"/>
    </row>
    <row r="5107" spans="3:3" s="181" customFormat="1" hidden="1" x14ac:dyDescent="0.2">
      <c r="C5107" s="180"/>
    </row>
    <row r="5108" spans="3:3" s="181" customFormat="1" hidden="1" x14ac:dyDescent="0.2">
      <c r="C5108" s="180"/>
    </row>
    <row r="5109" spans="3:3" s="181" customFormat="1" hidden="1" x14ac:dyDescent="0.2">
      <c r="C5109" s="180"/>
    </row>
    <row r="5110" spans="3:3" s="181" customFormat="1" hidden="1" x14ac:dyDescent="0.2">
      <c r="C5110" s="180"/>
    </row>
    <row r="5111" spans="3:3" s="181" customFormat="1" hidden="1" x14ac:dyDescent="0.2">
      <c r="C5111" s="180"/>
    </row>
    <row r="5112" spans="3:3" s="181" customFormat="1" hidden="1" x14ac:dyDescent="0.2">
      <c r="C5112" s="180"/>
    </row>
    <row r="5113" spans="3:3" s="181" customFormat="1" hidden="1" x14ac:dyDescent="0.2">
      <c r="C5113" s="180"/>
    </row>
    <row r="5114" spans="3:3" s="181" customFormat="1" hidden="1" x14ac:dyDescent="0.2">
      <c r="C5114" s="180"/>
    </row>
    <row r="5115" spans="3:3" s="181" customFormat="1" hidden="1" x14ac:dyDescent="0.2">
      <c r="C5115" s="180"/>
    </row>
    <row r="5116" spans="3:3" s="181" customFormat="1" hidden="1" x14ac:dyDescent="0.2">
      <c r="C5116" s="180"/>
    </row>
    <row r="5117" spans="3:3" s="181" customFormat="1" hidden="1" x14ac:dyDescent="0.2">
      <c r="C5117" s="180"/>
    </row>
    <row r="5118" spans="3:3" s="181" customFormat="1" hidden="1" x14ac:dyDescent="0.2">
      <c r="C5118" s="180"/>
    </row>
    <row r="5119" spans="3:3" s="181" customFormat="1" hidden="1" x14ac:dyDescent="0.2">
      <c r="C5119" s="180"/>
    </row>
    <row r="5120" spans="3:3" s="181" customFormat="1" hidden="1" x14ac:dyDescent="0.2">
      <c r="C5120" s="180"/>
    </row>
    <row r="5121" spans="3:3" s="181" customFormat="1" hidden="1" x14ac:dyDescent="0.2">
      <c r="C5121" s="180"/>
    </row>
    <row r="5122" spans="3:3" s="181" customFormat="1" hidden="1" x14ac:dyDescent="0.2">
      <c r="C5122" s="180"/>
    </row>
    <row r="5123" spans="3:3" s="181" customFormat="1" hidden="1" x14ac:dyDescent="0.2">
      <c r="C5123" s="180"/>
    </row>
    <row r="5124" spans="3:3" s="181" customFormat="1" hidden="1" x14ac:dyDescent="0.2">
      <c r="C5124" s="180"/>
    </row>
    <row r="5125" spans="3:3" s="181" customFormat="1" hidden="1" x14ac:dyDescent="0.2">
      <c r="C5125" s="180"/>
    </row>
    <row r="5126" spans="3:3" s="181" customFormat="1" hidden="1" x14ac:dyDescent="0.2">
      <c r="C5126" s="180"/>
    </row>
    <row r="5127" spans="3:3" s="181" customFormat="1" hidden="1" x14ac:dyDescent="0.2">
      <c r="C5127" s="180"/>
    </row>
    <row r="5128" spans="3:3" s="181" customFormat="1" hidden="1" x14ac:dyDescent="0.2">
      <c r="C5128" s="180"/>
    </row>
    <row r="5129" spans="3:3" s="181" customFormat="1" hidden="1" x14ac:dyDescent="0.2">
      <c r="C5129" s="180"/>
    </row>
    <row r="5130" spans="3:3" s="181" customFormat="1" hidden="1" x14ac:dyDescent="0.2">
      <c r="C5130" s="180"/>
    </row>
    <row r="5131" spans="3:3" s="181" customFormat="1" hidden="1" x14ac:dyDescent="0.2">
      <c r="C5131" s="180"/>
    </row>
    <row r="5132" spans="3:3" s="181" customFormat="1" hidden="1" x14ac:dyDescent="0.2">
      <c r="C5132" s="180"/>
    </row>
    <row r="5133" spans="3:3" s="181" customFormat="1" hidden="1" x14ac:dyDescent="0.2">
      <c r="C5133" s="180"/>
    </row>
    <row r="5134" spans="3:3" s="181" customFormat="1" hidden="1" x14ac:dyDescent="0.2">
      <c r="C5134" s="180"/>
    </row>
    <row r="5135" spans="3:3" s="181" customFormat="1" hidden="1" x14ac:dyDescent="0.2">
      <c r="C5135" s="180"/>
    </row>
    <row r="5136" spans="3:3" s="181" customFormat="1" hidden="1" x14ac:dyDescent="0.2">
      <c r="C5136" s="180"/>
    </row>
    <row r="5137" spans="3:3" s="181" customFormat="1" hidden="1" x14ac:dyDescent="0.2">
      <c r="C5137" s="180"/>
    </row>
    <row r="5138" spans="3:3" s="181" customFormat="1" hidden="1" x14ac:dyDescent="0.2">
      <c r="C5138" s="180"/>
    </row>
    <row r="5139" spans="3:3" s="181" customFormat="1" hidden="1" x14ac:dyDescent="0.2">
      <c r="C5139" s="180"/>
    </row>
    <row r="5140" spans="3:3" s="181" customFormat="1" hidden="1" x14ac:dyDescent="0.2">
      <c r="C5140" s="180"/>
    </row>
    <row r="5141" spans="3:3" s="181" customFormat="1" hidden="1" x14ac:dyDescent="0.2">
      <c r="C5141" s="180"/>
    </row>
    <row r="5142" spans="3:3" s="181" customFormat="1" hidden="1" x14ac:dyDescent="0.2">
      <c r="C5142" s="180"/>
    </row>
    <row r="5143" spans="3:3" s="181" customFormat="1" hidden="1" x14ac:dyDescent="0.2">
      <c r="C5143" s="180"/>
    </row>
    <row r="5144" spans="3:3" s="181" customFormat="1" hidden="1" x14ac:dyDescent="0.2">
      <c r="C5144" s="180"/>
    </row>
    <row r="5145" spans="3:3" s="181" customFormat="1" hidden="1" x14ac:dyDescent="0.2">
      <c r="C5145" s="180"/>
    </row>
    <row r="5146" spans="3:3" s="181" customFormat="1" hidden="1" x14ac:dyDescent="0.2">
      <c r="C5146" s="180"/>
    </row>
    <row r="5147" spans="3:3" s="181" customFormat="1" hidden="1" x14ac:dyDescent="0.2">
      <c r="C5147" s="180"/>
    </row>
    <row r="5148" spans="3:3" s="181" customFormat="1" hidden="1" x14ac:dyDescent="0.2">
      <c r="C5148" s="180"/>
    </row>
    <row r="5149" spans="3:3" s="181" customFormat="1" hidden="1" x14ac:dyDescent="0.2">
      <c r="C5149" s="180"/>
    </row>
    <row r="5150" spans="3:3" s="181" customFormat="1" hidden="1" x14ac:dyDescent="0.2">
      <c r="C5150" s="180"/>
    </row>
    <row r="5151" spans="3:3" s="181" customFormat="1" hidden="1" x14ac:dyDescent="0.2">
      <c r="C5151" s="180"/>
    </row>
    <row r="5152" spans="3:3" s="181" customFormat="1" hidden="1" x14ac:dyDescent="0.2">
      <c r="C5152" s="180"/>
    </row>
    <row r="5153" spans="3:3" s="181" customFormat="1" hidden="1" x14ac:dyDescent="0.2">
      <c r="C5153" s="180"/>
    </row>
    <row r="5154" spans="3:3" s="181" customFormat="1" hidden="1" x14ac:dyDescent="0.2">
      <c r="C5154" s="180"/>
    </row>
    <row r="5155" spans="3:3" s="181" customFormat="1" hidden="1" x14ac:dyDescent="0.2">
      <c r="C5155" s="180"/>
    </row>
    <row r="5156" spans="3:3" s="181" customFormat="1" hidden="1" x14ac:dyDescent="0.2">
      <c r="C5156" s="180"/>
    </row>
    <row r="5157" spans="3:3" s="181" customFormat="1" hidden="1" x14ac:dyDescent="0.2">
      <c r="C5157" s="180"/>
    </row>
    <row r="5158" spans="3:3" s="181" customFormat="1" hidden="1" x14ac:dyDescent="0.2">
      <c r="C5158" s="180"/>
    </row>
    <row r="5159" spans="3:3" s="181" customFormat="1" hidden="1" x14ac:dyDescent="0.2">
      <c r="C5159" s="180"/>
    </row>
    <row r="5160" spans="3:3" s="181" customFormat="1" hidden="1" x14ac:dyDescent="0.2">
      <c r="C5160" s="180"/>
    </row>
    <row r="5161" spans="3:3" s="181" customFormat="1" hidden="1" x14ac:dyDescent="0.2">
      <c r="C5161" s="180"/>
    </row>
    <row r="5162" spans="3:3" s="181" customFormat="1" hidden="1" x14ac:dyDescent="0.2">
      <c r="C5162" s="180"/>
    </row>
    <row r="5163" spans="3:3" s="181" customFormat="1" hidden="1" x14ac:dyDescent="0.2">
      <c r="C5163" s="180"/>
    </row>
    <row r="5164" spans="3:3" s="181" customFormat="1" hidden="1" x14ac:dyDescent="0.2">
      <c r="C5164" s="180"/>
    </row>
    <row r="5165" spans="3:3" s="181" customFormat="1" hidden="1" x14ac:dyDescent="0.2">
      <c r="C5165" s="180"/>
    </row>
    <row r="5166" spans="3:3" s="181" customFormat="1" hidden="1" x14ac:dyDescent="0.2">
      <c r="C5166" s="180"/>
    </row>
    <row r="5167" spans="3:3" s="181" customFormat="1" hidden="1" x14ac:dyDescent="0.2">
      <c r="C5167" s="180"/>
    </row>
    <row r="5168" spans="3:3" s="181" customFormat="1" hidden="1" x14ac:dyDescent="0.2">
      <c r="C5168" s="180"/>
    </row>
    <row r="5169" spans="3:3" s="181" customFormat="1" hidden="1" x14ac:dyDescent="0.2">
      <c r="C5169" s="180"/>
    </row>
    <row r="5170" spans="3:3" s="181" customFormat="1" hidden="1" x14ac:dyDescent="0.2">
      <c r="C5170" s="180"/>
    </row>
    <row r="5171" spans="3:3" s="181" customFormat="1" hidden="1" x14ac:dyDescent="0.2">
      <c r="C5171" s="180"/>
    </row>
    <row r="5172" spans="3:3" s="181" customFormat="1" hidden="1" x14ac:dyDescent="0.2">
      <c r="C5172" s="180"/>
    </row>
    <row r="5173" spans="3:3" s="181" customFormat="1" hidden="1" x14ac:dyDescent="0.2">
      <c r="C5173" s="180"/>
    </row>
    <row r="5174" spans="3:3" s="181" customFormat="1" hidden="1" x14ac:dyDescent="0.2">
      <c r="C5174" s="180"/>
    </row>
    <row r="5175" spans="3:3" s="181" customFormat="1" hidden="1" x14ac:dyDescent="0.2">
      <c r="C5175" s="180"/>
    </row>
    <row r="5176" spans="3:3" s="181" customFormat="1" hidden="1" x14ac:dyDescent="0.2">
      <c r="C5176" s="180"/>
    </row>
    <row r="5177" spans="3:3" s="181" customFormat="1" hidden="1" x14ac:dyDescent="0.2">
      <c r="C5177" s="180"/>
    </row>
    <row r="5178" spans="3:3" s="181" customFormat="1" hidden="1" x14ac:dyDescent="0.2">
      <c r="C5178" s="180"/>
    </row>
    <row r="5179" spans="3:3" s="181" customFormat="1" hidden="1" x14ac:dyDescent="0.2">
      <c r="C5179" s="180"/>
    </row>
    <row r="5180" spans="3:3" s="181" customFormat="1" hidden="1" x14ac:dyDescent="0.2">
      <c r="C5180" s="180"/>
    </row>
    <row r="5181" spans="3:3" s="181" customFormat="1" hidden="1" x14ac:dyDescent="0.2">
      <c r="C5181" s="180"/>
    </row>
    <row r="5182" spans="3:3" s="181" customFormat="1" hidden="1" x14ac:dyDescent="0.2">
      <c r="C5182" s="180"/>
    </row>
    <row r="5183" spans="3:3" s="181" customFormat="1" hidden="1" x14ac:dyDescent="0.2">
      <c r="C5183" s="180"/>
    </row>
    <row r="5184" spans="3:3" s="181" customFormat="1" hidden="1" x14ac:dyDescent="0.2">
      <c r="C5184" s="180"/>
    </row>
    <row r="5185" spans="3:3" s="181" customFormat="1" hidden="1" x14ac:dyDescent="0.2">
      <c r="C5185" s="180"/>
    </row>
    <row r="5186" spans="3:3" s="181" customFormat="1" hidden="1" x14ac:dyDescent="0.2">
      <c r="C5186" s="180"/>
    </row>
    <row r="5187" spans="3:3" s="181" customFormat="1" hidden="1" x14ac:dyDescent="0.2">
      <c r="C5187" s="180"/>
    </row>
    <row r="5188" spans="3:3" s="181" customFormat="1" hidden="1" x14ac:dyDescent="0.2">
      <c r="C5188" s="180"/>
    </row>
    <row r="5189" spans="3:3" s="181" customFormat="1" hidden="1" x14ac:dyDescent="0.2">
      <c r="C5189" s="180"/>
    </row>
    <row r="5190" spans="3:3" s="181" customFormat="1" hidden="1" x14ac:dyDescent="0.2">
      <c r="C5190" s="180"/>
    </row>
    <row r="5191" spans="3:3" s="181" customFormat="1" hidden="1" x14ac:dyDescent="0.2">
      <c r="C5191" s="180"/>
    </row>
    <row r="5192" spans="3:3" s="181" customFormat="1" hidden="1" x14ac:dyDescent="0.2">
      <c r="C5192" s="180"/>
    </row>
    <row r="5193" spans="3:3" s="181" customFormat="1" hidden="1" x14ac:dyDescent="0.2">
      <c r="C5193" s="180"/>
    </row>
    <row r="5194" spans="3:3" s="181" customFormat="1" hidden="1" x14ac:dyDescent="0.2">
      <c r="C5194" s="180"/>
    </row>
    <row r="5195" spans="3:3" s="181" customFormat="1" hidden="1" x14ac:dyDescent="0.2">
      <c r="C5195" s="180"/>
    </row>
    <row r="5196" spans="3:3" s="181" customFormat="1" hidden="1" x14ac:dyDescent="0.2">
      <c r="C5196" s="180"/>
    </row>
    <row r="5197" spans="3:3" s="181" customFormat="1" hidden="1" x14ac:dyDescent="0.2">
      <c r="C5197" s="180"/>
    </row>
    <row r="5198" spans="3:3" s="181" customFormat="1" hidden="1" x14ac:dyDescent="0.2">
      <c r="C5198" s="180"/>
    </row>
    <row r="5199" spans="3:3" s="181" customFormat="1" hidden="1" x14ac:dyDescent="0.2">
      <c r="C5199" s="180"/>
    </row>
    <row r="5200" spans="3:3" s="181" customFormat="1" hidden="1" x14ac:dyDescent="0.2">
      <c r="C5200" s="180"/>
    </row>
    <row r="5201" spans="3:3" s="181" customFormat="1" hidden="1" x14ac:dyDescent="0.2">
      <c r="C5201" s="180"/>
    </row>
    <row r="5202" spans="3:3" s="181" customFormat="1" hidden="1" x14ac:dyDescent="0.2">
      <c r="C5202" s="180"/>
    </row>
    <row r="5203" spans="3:3" s="181" customFormat="1" hidden="1" x14ac:dyDescent="0.2">
      <c r="C5203" s="180"/>
    </row>
    <row r="5204" spans="3:3" s="181" customFormat="1" hidden="1" x14ac:dyDescent="0.2">
      <c r="C5204" s="180"/>
    </row>
    <row r="5205" spans="3:3" s="181" customFormat="1" hidden="1" x14ac:dyDescent="0.2">
      <c r="C5205" s="180"/>
    </row>
    <row r="5206" spans="3:3" s="181" customFormat="1" hidden="1" x14ac:dyDescent="0.2">
      <c r="C5206" s="180"/>
    </row>
    <row r="5207" spans="3:3" s="181" customFormat="1" hidden="1" x14ac:dyDescent="0.2">
      <c r="C5207" s="180"/>
    </row>
    <row r="5208" spans="3:3" s="181" customFormat="1" hidden="1" x14ac:dyDescent="0.2">
      <c r="C5208" s="180"/>
    </row>
    <row r="5209" spans="3:3" s="181" customFormat="1" hidden="1" x14ac:dyDescent="0.2">
      <c r="C5209" s="180"/>
    </row>
    <row r="5210" spans="3:3" s="181" customFormat="1" hidden="1" x14ac:dyDescent="0.2">
      <c r="C5210" s="180"/>
    </row>
    <row r="5211" spans="3:3" s="181" customFormat="1" hidden="1" x14ac:dyDescent="0.2">
      <c r="C5211" s="180"/>
    </row>
    <row r="5212" spans="3:3" s="181" customFormat="1" hidden="1" x14ac:dyDescent="0.2">
      <c r="C5212" s="180"/>
    </row>
    <row r="5213" spans="3:3" s="181" customFormat="1" hidden="1" x14ac:dyDescent="0.2">
      <c r="C5213" s="180"/>
    </row>
    <row r="5214" spans="3:3" s="181" customFormat="1" hidden="1" x14ac:dyDescent="0.2">
      <c r="C5214" s="180"/>
    </row>
    <row r="5215" spans="3:3" s="181" customFormat="1" hidden="1" x14ac:dyDescent="0.2">
      <c r="C5215" s="180"/>
    </row>
    <row r="5216" spans="3:3" s="181" customFormat="1" hidden="1" x14ac:dyDescent="0.2">
      <c r="C5216" s="180"/>
    </row>
    <row r="5217" spans="3:3" s="181" customFormat="1" hidden="1" x14ac:dyDescent="0.2">
      <c r="C5217" s="180"/>
    </row>
    <row r="5218" spans="3:3" s="181" customFormat="1" hidden="1" x14ac:dyDescent="0.2">
      <c r="C5218" s="180"/>
    </row>
    <row r="5219" spans="3:3" s="181" customFormat="1" hidden="1" x14ac:dyDescent="0.2">
      <c r="C5219" s="180"/>
    </row>
    <row r="5220" spans="3:3" s="181" customFormat="1" hidden="1" x14ac:dyDescent="0.2">
      <c r="C5220" s="180"/>
    </row>
    <row r="5221" spans="3:3" s="181" customFormat="1" hidden="1" x14ac:dyDescent="0.2">
      <c r="C5221" s="180"/>
    </row>
    <row r="5222" spans="3:3" s="181" customFormat="1" hidden="1" x14ac:dyDescent="0.2">
      <c r="C5222" s="180"/>
    </row>
    <row r="5223" spans="3:3" s="181" customFormat="1" hidden="1" x14ac:dyDescent="0.2">
      <c r="C5223" s="180"/>
    </row>
    <row r="5224" spans="3:3" s="181" customFormat="1" hidden="1" x14ac:dyDescent="0.2">
      <c r="C5224" s="180"/>
    </row>
    <row r="5225" spans="3:3" s="181" customFormat="1" hidden="1" x14ac:dyDescent="0.2">
      <c r="C5225" s="180"/>
    </row>
    <row r="5226" spans="3:3" s="181" customFormat="1" hidden="1" x14ac:dyDescent="0.2">
      <c r="C5226" s="180"/>
    </row>
    <row r="5227" spans="3:3" s="181" customFormat="1" hidden="1" x14ac:dyDescent="0.2">
      <c r="C5227" s="180"/>
    </row>
    <row r="5228" spans="3:3" s="181" customFormat="1" hidden="1" x14ac:dyDescent="0.2">
      <c r="C5228" s="180"/>
    </row>
    <row r="5229" spans="3:3" s="181" customFormat="1" hidden="1" x14ac:dyDescent="0.2">
      <c r="C5229" s="180"/>
    </row>
    <row r="5230" spans="3:3" s="181" customFormat="1" hidden="1" x14ac:dyDescent="0.2">
      <c r="C5230" s="180"/>
    </row>
    <row r="5231" spans="3:3" s="181" customFormat="1" hidden="1" x14ac:dyDescent="0.2">
      <c r="C5231" s="180"/>
    </row>
    <row r="5232" spans="3:3" s="181" customFormat="1" hidden="1" x14ac:dyDescent="0.2">
      <c r="C5232" s="180"/>
    </row>
    <row r="5233" spans="3:3" s="181" customFormat="1" hidden="1" x14ac:dyDescent="0.2">
      <c r="C5233" s="180"/>
    </row>
    <row r="5234" spans="3:3" s="181" customFormat="1" hidden="1" x14ac:dyDescent="0.2">
      <c r="C5234" s="180"/>
    </row>
    <row r="5235" spans="3:3" s="181" customFormat="1" hidden="1" x14ac:dyDescent="0.2">
      <c r="C5235" s="180"/>
    </row>
    <row r="5236" spans="3:3" s="181" customFormat="1" hidden="1" x14ac:dyDescent="0.2">
      <c r="C5236" s="180"/>
    </row>
    <row r="5237" spans="3:3" s="181" customFormat="1" hidden="1" x14ac:dyDescent="0.2">
      <c r="C5237" s="180"/>
    </row>
    <row r="5238" spans="3:3" s="181" customFormat="1" hidden="1" x14ac:dyDescent="0.2">
      <c r="C5238" s="180"/>
    </row>
    <row r="5239" spans="3:3" s="181" customFormat="1" hidden="1" x14ac:dyDescent="0.2">
      <c r="C5239" s="180"/>
    </row>
    <row r="5240" spans="3:3" s="181" customFormat="1" hidden="1" x14ac:dyDescent="0.2">
      <c r="C5240" s="180"/>
    </row>
    <row r="5241" spans="3:3" s="181" customFormat="1" hidden="1" x14ac:dyDescent="0.2">
      <c r="C5241" s="180"/>
    </row>
    <row r="5242" spans="3:3" s="181" customFormat="1" hidden="1" x14ac:dyDescent="0.2">
      <c r="C5242" s="180"/>
    </row>
    <row r="5243" spans="3:3" s="181" customFormat="1" hidden="1" x14ac:dyDescent="0.2">
      <c r="C5243" s="180"/>
    </row>
    <row r="5244" spans="3:3" s="181" customFormat="1" hidden="1" x14ac:dyDescent="0.2">
      <c r="C5244" s="180"/>
    </row>
    <row r="5245" spans="3:3" s="181" customFormat="1" hidden="1" x14ac:dyDescent="0.2">
      <c r="C5245" s="180"/>
    </row>
    <row r="5246" spans="3:3" s="181" customFormat="1" hidden="1" x14ac:dyDescent="0.2">
      <c r="C5246" s="180"/>
    </row>
    <row r="5247" spans="3:3" s="181" customFormat="1" hidden="1" x14ac:dyDescent="0.2">
      <c r="C5247" s="180"/>
    </row>
    <row r="5248" spans="3:3" s="181" customFormat="1" hidden="1" x14ac:dyDescent="0.2">
      <c r="C5248" s="180"/>
    </row>
    <row r="5249" spans="3:3" s="181" customFormat="1" hidden="1" x14ac:dyDescent="0.2">
      <c r="C5249" s="180"/>
    </row>
    <row r="5250" spans="3:3" s="181" customFormat="1" hidden="1" x14ac:dyDescent="0.2">
      <c r="C5250" s="180"/>
    </row>
    <row r="5251" spans="3:3" s="181" customFormat="1" hidden="1" x14ac:dyDescent="0.2">
      <c r="C5251" s="180"/>
    </row>
    <row r="5252" spans="3:3" s="181" customFormat="1" hidden="1" x14ac:dyDescent="0.2">
      <c r="C5252" s="180"/>
    </row>
    <row r="5253" spans="3:3" s="181" customFormat="1" hidden="1" x14ac:dyDescent="0.2">
      <c r="C5253" s="180"/>
    </row>
    <row r="5254" spans="3:3" s="181" customFormat="1" hidden="1" x14ac:dyDescent="0.2">
      <c r="C5254" s="180"/>
    </row>
    <row r="5255" spans="3:3" s="181" customFormat="1" hidden="1" x14ac:dyDescent="0.2">
      <c r="C5255" s="180"/>
    </row>
    <row r="5256" spans="3:3" s="181" customFormat="1" hidden="1" x14ac:dyDescent="0.2">
      <c r="C5256" s="180"/>
    </row>
    <row r="5257" spans="3:3" s="181" customFormat="1" hidden="1" x14ac:dyDescent="0.2">
      <c r="C5257" s="180"/>
    </row>
    <row r="5258" spans="3:3" s="181" customFormat="1" hidden="1" x14ac:dyDescent="0.2">
      <c r="C5258" s="180"/>
    </row>
    <row r="5259" spans="3:3" s="181" customFormat="1" hidden="1" x14ac:dyDescent="0.2">
      <c r="C5259" s="180"/>
    </row>
    <row r="5260" spans="3:3" s="181" customFormat="1" hidden="1" x14ac:dyDescent="0.2">
      <c r="C5260" s="180"/>
    </row>
    <row r="5261" spans="3:3" s="181" customFormat="1" hidden="1" x14ac:dyDescent="0.2">
      <c r="C5261" s="180"/>
    </row>
    <row r="5262" spans="3:3" s="181" customFormat="1" hidden="1" x14ac:dyDescent="0.2">
      <c r="C5262" s="180"/>
    </row>
    <row r="5263" spans="3:3" s="181" customFormat="1" hidden="1" x14ac:dyDescent="0.2">
      <c r="C5263" s="180"/>
    </row>
    <row r="5264" spans="3:3" s="181" customFormat="1" hidden="1" x14ac:dyDescent="0.2">
      <c r="C5264" s="180"/>
    </row>
    <row r="5265" spans="3:3" s="181" customFormat="1" hidden="1" x14ac:dyDescent="0.2">
      <c r="C5265" s="180"/>
    </row>
    <row r="5266" spans="3:3" s="181" customFormat="1" hidden="1" x14ac:dyDescent="0.2">
      <c r="C5266" s="180"/>
    </row>
    <row r="5267" spans="3:3" s="181" customFormat="1" hidden="1" x14ac:dyDescent="0.2">
      <c r="C5267" s="180"/>
    </row>
    <row r="5268" spans="3:3" s="181" customFormat="1" hidden="1" x14ac:dyDescent="0.2">
      <c r="C5268" s="180"/>
    </row>
    <row r="5269" spans="3:3" s="181" customFormat="1" hidden="1" x14ac:dyDescent="0.2">
      <c r="C5269" s="180"/>
    </row>
    <row r="5270" spans="3:3" s="181" customFormat="1" hidden="1" x14ac:dyDescent="0.2">
      <c r="C5270" s="180"/>
    </row>
    <row r="5271" spans="3:3" s="181" customFormat="1" hidden="1" x14ac:dyDescent="0.2">
      <c r="C5271" s="180"/>
    </row>
    <row r="5272" spans="3:3" s="181" customFormat="1" hidden="1" x14ac:dyDescent="0.2">
      <c r="C5272" s="180"/>
    </row>
    <row r="5273" spans="3:3" s="181" customFormat="1" hidden="1" x14ac:dyDescent="0.2">
      <c r="C5273" s="180"/>
    </row>
    <row r="5274" spans="3:3" s="181" customFormat="1" hidden="1" x14ac:dyDescent="0.2">
      <c r="C5274" s="180"/>
    </row>
    <row r="5275" spans="3:3" s="181" customFormat="1" hidden="1" x14ac:dyDescent="0.2">
      <c r="C5275" s="180"/>
    </row>
    <row r="5276" spans="3:3" s="181" customFormat="1" hidden="1" x14ac:dyDescent="0.2">
      <c r="C5276" s="180"/>
    </row>
    <row r="5277" spans="3:3" s="181" customFormat="1" hidden="1" x14ac:dyDescent="0.2">
      <c r="C5277" s="180"/>
    </row>
    <row r="5278" spans="3:3" s="181" customFormat="1" hidden="1" x14ac:dyDescent="0.2">
      <c r="C5278" s="180"/>
    </row>
    <row r="5279" spans="3:3" s="181" customFormat="1" hidden="1" x14ac:dyDescent="0.2">
      <c r="C5279" s="180"/>
    </row>
    <row r="5280" spans="3:3" s="181" customFormat="1" hidden="1" x14ac:dyDescent="0.2">
      <c r="C5280" s="180"/>
    </row>
    <row r="5281" spans="3:3" s="181" customFormat="1" hidden="1" x14ac:dyDescent="0.2">
      <c r="C5281" s="180"/>
    </row>
    <row r="5282" spans="3:3" s="181" customFormat="1" hidden="1" x14ac:dyDescent="0.2">
      <c r="C5282" s="180"/>
    </row>
    <row r="5283" spans="3:3" s="181" customFormat="1" hidden="1" x14ac:dyDescent="0.2">
      <c r="C5283" s="180"/>
    </row>
    <row r="5284" spans="3:3" s="181" customFormat="1" hidden="1" x14ac:dyDescent="0.2">
      <c r="C5284" s="180"/>
    </row>
    <row r="5285" spans="3:3" s="181" customFormat="1" hidden="1" x14ac:dyDescent="0.2">
      <c r="C5285" s="180"/>
    </row>
    <row r="5286" spans="3:3" s="181" customFormat="1" hidden="1" x14ac:dyDescent="0.2">
      <c r="C5286" s="180"/>
    </row>
    <row r="5287" spans="3:3" s="181" customFormat="1" hidden="1" x14ac:dyDescent="0.2">
      <c r="C5287" s="180"/>
    </row>
    <row r="5288" spans="3:3" s="181" customFormat="1" hidden="1" x14ac:dyDescent="0.2">
      <c r="C5288" s="180"/>
    </row>
    <row r="5289" spans="3:3" s="181" customFormat="1" hidden="1" x14ac:dyDescent="0.2">
      <c r="C5289" s="180"/>
    </row>
    <row r="5290" spans="3:3" s="181" customFormat="1" hidden="1" x14ac:dyDescent="0.2">
      <c r="C5290" s="180"/>
    </row>
    <row r="5291" spans="3:3" s="181" customFormat="1" hidden="1" x14ac:dyDescent="0.2">
      <c r="C5291" s="180"/>
    </row>
    <row r="5292" spans="3:3" s="181" customFormat="1" hidden="1" x14ac:dyDescent="0.2">
      <c r="C5292" s="180"/>
    </row>
    <row r="5293" spans="3:3" s="181" customFormat="1" hidden="1" x14ac:dyDescent="0.2">
      <c r="C5293" s="180"/>
    </row>
    <row r="5294" spans="3:3" s="181" customFormat="1" hidden="1" x14ac:dyDescent="0.2">
      <c r="C5294" s="180"/>
    </row>
    <row r="5295" spans="3:3" s="181" customFormat="1" hidden="1" x14ac:dyDescent="0.2">
      <c r="C5295" s="180"/>
    </row>
    <row r="5296" spans="3:3" s="181" customFormat="1" hidden="1" x14ac:dyDescent="0.2">
      <c r="C5296" s="180"/>
    </row>
    <row r="5297" spans="3:3" s="181" customFormat="1" hidden="1" x14ac:dyDescent="0.2">
      <c r="C5297" s="180"/>
    </row>
    <row r="5298" spans="3:3" s="181" customFormat="1" hidden="1" x14ac:dyDescent="0.2">
      <c r="C5298" s="180"/>
    </row>
    <row r="5299" spans="3:3" s="181" customFormat="1" hidden="1" x14ac:dyDescent="0.2">
      <c r="C5299" s="180"/>
    </row>
    <row r="5300" spans="3:3" s="181" customFormat="1" hidden="1" x14ac:dyDescent="0.2">
      <c r="C5300" s="180"/>
    </row>
    <row r="5301" spans="3:3" s="181" customFormat="1" hidden="1" x14ac:dyDescent="0.2">
      <c r="C5301" s="180"/>
    </row>
    <row r="5302" spans="3:3" s="181" customFormat="1" hidden="1" x14ac:dyDescent="0.2">
      <c r="C5302" s="180"/>
    </row>
    <row r="5303" spans="3:3" s="181" customFormat="1" hidden="1" x14ac:dyDescent="0.2">
      <c r="C5303" s="180"/>
    </row>
    <row r="5304" spans="3:3" s="181" customFormat="1" hidden="1" x14ac:dyDescent="0.2">
      <c r="C5304" s="180"/>
    </row>
    <row r="5305" spans="3:3" s="181" customFormat="1" hidden="1" x14ac:dyDescent="0.2">
      <c r="C5305" s="180"/>
    </row>
    <row r="5306" spans="3:3" s="181" customFormat="1" hidden="1" x14ac:dyDescent="0.2">
      <c r="C5306" s="180"/>
    </row>
    <row r="5307" spans="3:3" s="181" customFormat="1" hidden="1" x14ac:dyDescent="0.2">
      <c r="C5307" s="180"/>
    </row>
    <row r="5308" spans="3:3" s="181" customFormat="1" hidden="1" x14ac:dyDescent="0.2">
      <c r="C5308" s="180"/>
    </row>
    <row r="5309" spans="3:3" s="181" customFormat="1" hidden="1" x14ac:dyDescent="0.2">
      <c r="C5309" s="180"/>
    </row>
    <row r="5310" spans="3:3" s="181" customFormat="1" hidden="1" x14ac:dyDescent="0.2">
      <c r="C5310" s="180"/>
    </row>
    <row r="5311" spans="3:3" s="181" customFormat="1" hidden="1" x14ac:dyDescent="0.2">
      <c r="C5311" s="180"/>
    </row>
    <row r="5312" spans="3:3" s="181" customFormat="1" hidden="1" x14ac:dyDescent="0.2">
      <c r="C5312" s="180"/>
    </row>
    <row r="5313" spans="3:3" s="181" customFormat="1" hidden="1" x14ac:dyDescent="0.2">
      <c r="C5313" s="180"/>
    </row>
    <row r="5314" spans="3:3" s="181" customFormat="1" hidden="1" x14ac:dyDescent="0.2">
      <c r="C5314" s="180"/>
    </row>
    <row r="5315" spans="3:3" s="181" customFormat="1" hidden="1" x14ac:dyDescent="0.2">
      <c r="C5315" s="180"/>
    </row>
    <row r="5316" spans="3:3" s="181" customFormat="1" hidden="1" x14ac:dyDescent="0.2">
      <c r="C5316" s="180"/>
    </row>
    <row r="5317" spans="3:3" s="181" customFormat="1" hidden="1" x14ac:dyDescent="0.2">
      <c r="C5317" s="180"/>
    </row>
    <row r="5318" spans="3:3" s="181" customFormat="1" hidden="1" x14ac:dyDescent="0.2">
      <c r="C5318" s="180"/>
    </row>
    <row r="5319" spans="3:3" s="181" customFormat="1" hidden="1" x14ac:dyDescent="0.2">
      <c r="C5319" s="180"/>
    </row>
    <row r="5320" spans="3:3" s="181" customFormat="1" hidden="1" x14ac:dyDescent="0.2">
      <c r="C5320" s="180"/>
    </row>
    <row r="5321" spans="3:3" s="181" customFormat="1" hidden="1" x14ac:dyDescent="0.2">
      <c r="C5321" s="180"/>
    </row>
    <row r="5322" spans="3:3" s="181" customFormat="1" hidden="1" x14ac:dyDescent="0.2">
      <c r="C5322" s="180"/>
    </row>
    <row r="5323" spans="3:3" s="181" customFormat="1" hidden="1" x14ac:dyDescent="0.2">
      <c r="C5323" s="180"/>
    </row>
    <row r="5324" spans="3:3" s="181" customFormat="1" hidden="1" x14ac:dyDescent="0.2">
      <c r="C5324" s="180"/>
    </row>
    <row r="5325" spans="3:3" s="181" customFormat="1" hidden="1" x14ac:dyDescent="0.2">
      <c r="C5325" s="180"/>
    </row>
    <row r="5326" spans="3:3" s="181" customFormat="1" hidden="1" x14ac:dyDescent="0.2">
      <c r="C5326" s="180"/>
    </row>
    <row r="5327" spans="3:3" s="181" customFormat="1" hidden="1" x14ac:dyDescent="0.2">
      <c r="C5327" s="180"/>
    </row>
    <row r="5328" spans="3:3" s="181" customFormat="1" hidden="1" x14ac:dyDescent="0.2">
      <c r="C5328" s="180"/>
    </row>
    <row r="5329" spans="3:3" s="181" customFormat="1" hidden="1" x14ac:dyDescent="0.2">
      <c r="C5329" s="180"/>
    </row>
    <row r="5330" spans="3:3" s="181" customFormat="1" hidden="1" x14ac:dyDescent="0.2">
      <c r="C5330" s="180"/>
    </row>
    <row r="5331" spans="3:3" s="181" customFormat="1" hidden="1" x14ac:dyDescent="0.2">
      <c r="C5331" s="180"/>
    </row>
    <row r="5332" spans="3:3" s="181" customFormat="1" hidden="1" x14ac:dyDescent="0.2">
      <c r="C5332" s="180"/>
    </row>
    <row r="5333" spans="3:3" s="181" customFormat="1" hidden="1" x14ac:dyDescent="0.2">
      <c r="C5333" s="180"/>
    </row>
    <row r="5334" spans="3:3" s="181" customFormat="1" hidden="1" x14ac:dyDescent="0.2">
      <c r="C5334" s="180"/>
    </row>
    <row r="5335" spans="3:3" s="181" customFormat="1" hidden="1" x14ac:dyDescent="0.2">
      <c r="C5335" s="180"/>
    </row>
    <row r="5336" spans="3:3" s="181" customFormat="1" hidden="1" x14ac:dyDescent="0.2">
      <c r="C5336" s="180"/>
    </row>
    <row r="5337" spans="3:3" s="181" customFormat="1" hidden="1" x14ac:dyDescent="0.2">
      <c r="C5337" s="180"/>
    </row>
    <row r="5338" spans="3:3" s="181" customFormat="1" hidden="1" x14ac:dyDescent="0.2">
      <c r="C5338" s="180"/>
    </row>
    <row r="5339" spans="3:3" s="181" customFormat="1" hidden="1" x14ac:dyDescent="0.2">
      <c r="C5339" s="180"/>
    </row>
    <row r="5340" spans="3:3" s="181" customFormat="1" hidden="1" x14ac:dyDescent="0.2">
      <c r="C5340" s="180"/>
    </row>
    <row r="5341" spans="3:3" s="181" customFormat="1" hidden="1" x14ac:dyDescent="0.2">
      <c r="C5341" s="180"/>
    </row>
    <row r="5342" spans="3:3" s="181" customFormat="1" hidden="1" x14ac:dyDescent="0.2">
      <c r="C5342" s="180"/>
    </row>
    <row r="5343" spans="3:3" s="181" customFormat="1" hidden="1" x14ac:dyDescent="0.2">
      <c r="C5343" s="180"/>
    </row>
    <row r="5344" spans="3:3" s="181" customFormat="1" hidden="1" x14ac:dyDescent="0.2">
      <c r="C5344" s="180"/>
    </row>
    <row r="5345" spans="3:3" s="181" customFormat="1" hidden="1" x14ac:dyDescent="0.2">
      <c r="C5345" s="180"/>
    </row>
    <row r="5346" spans="3:3" s="181" customFormat="1" hidden="1" x14ac:dyDescent="0.2">
      <c r="C5346" s="180"/>
    </row>
    <row r="5347" spans="3:3" s="181" customFormat="1" hidden="1" x14ac:dyDescent="0.2">
      <c r="C5347" s="180"/>
    </row>
    <row r="5348" spans="3:3" s="181" customFormat="1" hidden="1" x14ac:dyDescent="0.2">
      <c r="C5348" s="180"/>
    </row>
    <row r="5349" spans="3:3" s="181" customFormat="1" hidden="1" x14ac:dyDescent="0.2">
      <c r="C5349" s="180"/>
    </row>
    <row r="5350" spans="3:3" s="181" customFormat="1" hidden="1" x14ac:dyDescent="0.2">
      <c r="C5350" s="180"/>
    </row>
    <row r="5351" spans="3:3" s="181" customFormat="1" hidden="1" x14ac:dyDescent="0.2">
      <c r="C5351" s="180"/>
    </row>
    <row r="5352" spans="3:3" s="181" customFormat="1" hidden="1" x14ac:dyDescent="0.2">
      <c r="C5352" s="180"/>
    </row>
    <row r="5353" spans="3:3" s="181" customFormat="1" hidden="1" x14ac:dyDescent="0.2">
      <c r="C5353" s="180"/>
    </row>
    <row r="5354" spans="3:3" s="181" customFormat="1" hidden="1" x14ac:dyDescent="0.2">
      <c r="C5354" s="180"/>
    </row>
    <row r="5355" spans="3:3" s="181" customFormat="1" hidden="1" x14ac:dyDescent="0.2">
      <c r="C5355" s="180"/>
    </row>
    <row r="5356" spans="3:3" s="181" customFormat="1" hidden="1" x14ac:dyDescent="0.2">
      <c r="C5356" s="180"/>
    </row>
    <row r="5357" spans="3:3" s="181" customFormat="1" hidden="1" x14ac:dyDescent="0.2">
      <c r="C5357" s="180"/>
    </row>
    <row r="5358" spans="3:3" s="181" customFormat="1" hidden="1" x14ac:dyDescent="0.2">
      <c r="C5358" s="180"/>
    </row>
    <row r="5359" spans="3:3" s="181" customFormat="1" hidden="1" x14ac:dyDescent="0.2">
      <c r="C5359" s="180"/>
    </row>
    <row r="5360" spans="3:3" s="181" customFormat="1" hidden="1" x14ac:dyDescent="0.2">
      <c r="C5360" s="180"/>
    </row>
    <row r="5361" spans="3:3" s="181" customFormat="1" hidden="1" x14ac:dyDescent="0.2">
      <c r="C5361" s="180"/>
    </row>
    <row r="5362" spans="3:3" s="181" customFormat="1" hidden="1" x14ac:dyDescent="0.2">
      <c r="C5362" s="180"/>
    </row>
    <row r="5363" spans="3:3" s="181" customFormat="1" hidden="1" x14ac:dyDescent="0.2">
      <c r="C5363" s="180"/>
    </row>
    <row r="5364" spans="3:3" s="181" customFormat="1" hidden="1" x14ac:dyDescent="0.2">
      <c r="C5364" s="180"/>
    </row>
    <row r="5365" spans="3:3" s="181" customFormat="1" hidden="1" x14ac:dyDescent="0.2">
      <c r="C5365" s="180"/>
    </row>
    <row r="5366" spans="3:3" s="181" customFormat="1" hidden="1" x14ac:dyDescent="0.2">
      <c r="C5366" s="180"/>
    </row>
    <row r="5367" spans="3:3" s="181" customFormat="1" hidden="1" x14ac:dyDescent="0.2">
      <c r="C5367" s="180"/>
    </row>
    <row r="5368" spans="3:3" s="181" customFormat="1" hidden="1" x14ac:dyDescent="0.2">
      <c r="C5368" s="180"/>
    </row>
    <row r="5369" spans="3:3" s="181" customFormat="1" hidden="1" x14ac:dyDescent="0.2">
      <c r="C5369" s="180"/>
    </row>
    <row r="5370" spans="3:3" s="181" customFormat="1" hidden="1" x14ac:dyDescent="0.2">
      <c r="C5370" s="180"/>
    </row>
    <row r="5371" spans="3:3" s="181" customFormat="1" hidden="1" x14ac:dyDescent="0.2">
      <c r="C5371" s="180"/>
    </row>
    <row r="5372" spans="3:3" s="181" customFormat="1" hidden="1" x14ac:dyDescent="0.2">
      <c r="C5372" s="180"/>
    </row>
    <row r="5373" spans="3:3" s="181" customFormat="1" hidden="1" x14ac:dyDescent="0.2">
      <c r="C5373" s="180"/>
    </row>
    <row r="5374" spans="3:3" s="181" customFormat="1" hidden="1" x14ac:dyDescent="0.2">
      <c r="C5374" s="180"/>
    </row>
    <row r="5375" spans="3:3" s="181" customFormat="1" hidden="1" x14ac:dyDescent="0.2">
      <c r="C5375" s="180"/>
    </row>
    <row r="5376" spans="3:3" s="181" customFormat="1" hidden="1" x14ac:dyDescent="0.2">
      <c r="C5376" s="180"/>
    </row>
    <row r="5377" spans="3:3" s="181" customFormat="1" hidden="1" x14ac:dyDescent="0.2">
      <c r="C5377" s="180"/>
    </row>
    <row r="5378" spans="3:3" s="181" customFormat="1" hidden="1" x14ac:dyDescent="0.2">
      <c r="C5378" s="180"/>
    </row>
    <row r="5379" spans="3:3" s="181" customFormat="1" hidden="1" x14ac:dyDescent="0.2">
      <c r="C5379" s="180"/>
    </row>
    <row r="5380" spans="3:3" s="181" customFormat="1" hidden="1" x14ac:dyDescent="0.2">
      <c r="C5380" s="180"/>
    </row>
    <row r="5381" spans="3:3" s="181" customFormat="1" hidden="1" x14ac:dyDescent="0.2">
      <c r="C5381" s="180"/>
    </row>
    <row r="5382" spans="3:3" s="181" customFormat="1" hidden="1" x14ac:dyDescent="0.2">
      <c r="C5382" s="180"/>
    </row>
    <row r="5383" spans="3:3" s="181" customFormat="1" hidden="1" x14ac:dyDescent="0.2">
      <c r="C5383" s="180"/>
    </row>
    <row r="5384" spans="3:3" s="181" customFormat="1" hidden="1" x14ac:dyDescent="0.2">
      <c r="C5384" s="180"/>
    </row>
    <row r="5385" spans="3:3" s="181" customFormat="1" hidden="1" x14ac:dyDescent="0.2">
      <c r="C5385" s="180"/>
    </row>
    <row r="5386" spans="3:3" s="181" customFormat="1" hidden="1" x14ac:dyDescent="0.2">
      <c r="C5386" s="180"/>
    </row>
    <row r="5387" spans="3:3" s="181" customFormat="1" hidden="1" x14ac:dyDescent="0.2">
      <c r="C5387" s="180"/>
    </row>
    <row r="5388" spans="3:3" s="181" customFormat="1" hidden="1" x14ac:dyDescent="0.2">
      <c r="C5388" s="180"/>
    </row>
    <row r="5389" spans="3:3" s="181" customFormat="1" hidden="1" x14ac:dyDescent="0.2">
      <c r="C5389" s="180"/>
    </row>
    <row r="5390" spans="3:3" s="181" customFormat="1" hidden="1" x14ac:dyDescent="0.2">
      <c r="C5390" s="180"/>
    </row>
    <row r="5391" spans="3:3" s="181" customFormat="1" hidden="1" x14ac:dyDescent="0.2">
      <c r="C5391" s="180"/>
    </row>
    <row r="5392" spans="3:3" s="181" customFormat="1" hidden="1" x14ac:dyDescent="0.2">
      <c r="C5392" s="180"/>
    </row>
    <row r="5393" spans="3:3" s="181" customFormat="1" hidden="1" x14ac:dyDescent="0.2">
      <c r="C5393" s="180"/>
    </row>
    <row r="5394" spans="3:3" s="181" customFormat="1" hidden="1" x14ac:dyDescent="0.2">
      <c r="C5394" s="180"/>
    </row>
    <row r="5395" spans="3:3" s="181" customFormat="1" hidden="1" x14ac:dyDescent="0.2">
      <c r="C5395" s="180"/>
    </row>
    <row r="5396" spans="3:3" s="181" customFormat="1" hidden="1" x14ac:dyDescent="0.2">
      <c r="C5396" s="180"/>
    </row>
    <row r="5397" spans="3:3" s="181" customFormat="1" hidden="1" x14ac:dyDescent="0.2">
      <c r="C5397" s="180"/>
    </row>
    <row r="5398" spans="3:3" s="181" customFormat="1" hidden="1" x14ac:dyDescent="0.2">
      <c r="C5398" s="180"/>
    </row>
    <row r="5399" spans="3:3" s="181" customFormat="1" hidden="1" x14ac:dyDescent="0.2">
      <c r="C5399" s="180"/>
    </row>
    <row r="5400" spans="3:3" s="181" customFormat="1" hidden="1" x14ac:dyDescent="0.2">
      <c r="C5400" s="180"/>
    </row>
    <row r="5401" spans="3:3" s="181" customFormat="1" hidden="1" x14ac:dyDescent="0.2">
      <c r="C5401" s="180"/>
    </row>
    <row r="5402" spans="3:3" s="181" customFormat="1" hidden="1" x14ac:dyDescent="0.2">
      <c r="C5402" s="180"/>
    </row>
    <row r="5403" spans="3:3" s="181" customFormat="1" hidden="1" x14ac:dyDescent="0.2">
      <c r="C5403" s="180"/>
    </row>
    <row r="5404" spans="3:3" s="181" customFormat="1" hidden="1" x14ac:dyDescent="0.2">
      <c r="C5404" s="180"/>
    </row>
    <row r="5405" spans="3:3" s="181" customFormat="1" hidden="1" x14ac:dyDescent="0.2">
      <c r="C5405" s="180"/>
    </row>
    <row r="5406" spans="3:3" s="181" customFormat="1" hidden="1" x14ac:dyDescent="0.2">
      <c r="C5406" s="180"/>
    </row>
    <row r="5407" spans="3:3" s="181" customFormat="1" hidden="1" x14ac:dyDescent="0.2">
      <c r="C5407" s="180"/>
    </row>
    <row r="5408" spans="3:3" s="181" customFormat="1" hidden="1" x14ac:dyDescent="0.2">
      <c r="C5408" s="180"/>
    </row>
    <row r="5409" spans="3:3" s="181" customFormat="1" hidden="1" x14ac:dyDescent="0.2">
      <c r="C5409" s="180"/>
    </row>
    <row r="5410" spans="3:3" s="181" customFormat="1" hidden="1" x14ac:dyDescent="0.2">
      <c r="C5410" s="180"/>
    </row>
    <row r="5411" spans="3:3" s="181" customFormat="1" hidden="1" x14ac:dyDescent="0.2">
      <c r="C5411" s="180"/>
    </row>
    <row r="5412" spans="3:3" s="181" customFormat="1" hidden="1" x14ac:dyDescent="0.2">
      <c r="C5412" s="180"/>
    </row>
    <row r="5413" spans="3:3" s="181" customFormat="1" hidden="1" x14ac:dyDescent="0.2">
      <c r="C5413" s="180"/>
    </row>
    <row r="5414" spans="3:3" s="181" customFormat="1" hidden="1" x14ac:dyDescent="0.2">
      <c r="C5414" s="180"/>
    </row>
    <row r="5415" spans="3:3" s="181" customFormat="1" hidden="1" x14ac:dyDescent="0.2">
      <c r="C5415" s="180"/>
    </row>
    <row r="5416" spans="3:3" s="181" customFormat="1" hidden="1" x14ac:dyDescent="0.2">
      <c r="C5416" s="180"/>
    </row>
    <row r="5417" spans="3:3" s="181" customFormat="1" hidden="1" x14ac:dyDescent="0.2">
      <c r="C5417" s="180"/>
    </row>
    <row r="5418" spans="3:3" s="181" customFormat="1" hidden="1" x14ac:dyDescent="0.2">
      <c r="C5418" s="180"/>
    </row>
    <row r="5419" spans="3:3" s="181" customFormat="1" hidden="1" x14ac:dyDescent="0.2">
      <c r="C5419" s="180"/>
    </row>
    <row r="5420" spans="3:3" s="181" customFormat="1" hidden="1" x14ac:dyDescent="0.2">
      <c r="C5420" s="180"/>
    </row>
    <row r="5421" spans="3:3" s="181" customFormat="1" hidden="1" x14ac:dyDescent="0.2">
      <c r="C5421" s="180"/>
    </row>
    <row r="5422" spans="3:3" s="181" customFormat="1" hidden="1" x14ac:dyDescent="0.2">
      <c r="C5422" s="180"/>
    </row>
    <row r="5423" spans="3:3" s="181" customFormat="1" hidden="1" x14ac:dyDescent="0.2">
      <c r="C5423" s="180"/>
    </row>
    <row r="5424" spans="3:3" s="181" customFormat="1" hidden="1" x14ac:dyDescent="0.2">
      <c r="C5424" s="180"/>
    </row>
    <row r="5425" spans="3:3" s="181" customFormat="1" hidden="1" x14ac:dyDescent="0.2">
      <c r="C5425" s="180"/>
    </row>
    <row r="5426" spans="3:3" s="181" customFormat="1" hidden="1" x14ac:dyDescent="0.2">
      <c r="C5426" s="180"/>
    </row>
    <row r="5427" spans="3:3" s="181" customFormat="1" hidden="1" x14ac:dyDescent="0.2">
      <c r="C5427" s="180"/>
    </row>
    <row r="5428" spans="3:3" s="181" customFormat="1" hidden="1" x14ac:dyDescent="0.2">
      <c r="C5428" s="180"/>
    </row>
    <row r="5429" spans="3:3" s="181" customFormat="1" hidden="1" x14ac:dyDescent="0.2">
      <c r="C5429" s="180"/>
    </row>
    <row r="5430" spans="3:3" s="181" customFormat="1" hidden="1" x14ac:dyDescent="0.2">
      <c r="C5430" s="180"/>
    </row>
    <row r="5431" spans="3:3" s="181" customFormat="1" hidden="1" x14ac:dyDescent="0.2">
      <c r="C5431" s="180"/>
    </row>
    <row r="5432" spans="3:3" s="181" customFormat="1" hidden="1" x14ac:dyDescent="0.2">
      <c r="C5432" s="180"/>
    </row>
    <row r="5433" spans="3:3" s="181" customFormat="1" hidden="1" x14ac:dyDescent="0.2">
      <c r="C5433" s="180"/>
    </row>
    <row r="5434" spans="3:3" s="181" customFormat="1" hidden="1" x14ac:dyDescent="0.2">
      <c r="C5434" s="180"/>
    </row>
    <row r="5435" spans="3:3" s="181" customFormat="1" hidden="1" x14ac:dyDescent="0.2">
      <c r="C5435" s="180"/>
    </row>
    <row r="5436" spans="3:3" s="181" customFormat="1" hidden="1" x14ac:dyDescent="0.2">
      <c r="C5436" s="180"/>
    </row>
    <row r="5437" spans="3:3" s="181" customFormat="1" hidden="1" x14ac:dyDescent="0.2">
      <c r="C5437" s="180"/>
    </row>
    <row r="5438" spans="3:3" s="181" customFormat="1" hidden="1" x14ac:dyDescent="0.2">
      <c r="C5438" s="180"/>
    </row>
    <row r="5439" spans="3:3" s="181" customFormat="1" hidden="1" x14ac:dyDescent="0.2">
      <c r="C5439" s="180"/>
    </row>
    <row r="5440" spans="3:3" s="181" customFormat="1" hidden="1" x14ac:dyDescent="0.2">
      <c r="C5440" s="180"/>
    </row>
    <row r="5441" spans="3:3" s="181" customFormat="1" hidden="1" x14ac:dyDescent="0.2">
      <c r="C5441" s="180"/>
    </row>
    <row r="5442" spans="3:3" s="181" customFormat="1" hidden="1" x14ac:dyDescent="0.2">
      <c r="C5442" s="180"/>
    </row>
    <row r="5443" spans="3:3" s="181" customFormat="1" hidden="1" x14ac:dyDescent="0.2">
      <c r="C5443" s="180"/>
    </row>
    <row r="5444" spans="3:3" s="181" customFormat="1" hidden="1" x14ac:dyDescent="0.2">
      <c r="C5444" s="180"/>
    </row>
    <row r="5445" spans="3:3" s="181" customFormat="1" hidden="1" x14ac:dyDescent="0.2">
      <c r="C5445" s="180"/>
    </row>
    <row r="5446" spans="3:3" s="181" customFormat="1" hidden="1" x14ac:dyDescent="0.2">
      <c r="C5446" s="180"/>
    </row>
    <row r="5447" spans="3:3" s="181" customFormat="1" hidden="1" x14ac:dyDescent="0.2">
      <c r="C5447" s="180"/>
    </row>
    <row r="5448" spans="3:3" s="181" customFormat="1" hidden="1" x14ac:dyDescent="0.2">
      <c r="C5448" s="180"/>
    </row>
    <row r="5449" spans="3:3" s="181" customFormat="1" hidden="1" x14ac:dyDescent="0.2">
      <c r="C5449" s="180"/>
    </row>
    <row r="5450" spans="3:3" s="181" customFormat="1" hidden="1" x14ac:dyDescent="0.2">
      <c r="C5450" s="180"/>
    </row>
    <row r="5451" spans="3:3" s="181" customFormat="1" hidden="1" x14ac:dyDescent="0.2">
      <c r="C5451" s="180"/>
    </row>
    <row r="5452" spans="3:3" s="181" customFormat="1" hidden="1" x14ac:dyDescent="0.2">
      <c r="C5452" s="180"/>
    </row>
    <row r="5453" spans="3:3" s="181" customFormat="1" hidden="1" x14ac:dyDescent="0.2">
      <c r="C5453" s="180"/>
    </row>
    <row r="5454" spans="3:3" s="181" customFormat="1" hidden="1" x14ac:dyDescent="0.2">
      <c r="C5454" s="180"/>
    </row>
    <row r="5455" spans="3:3" s="181" customFormat="1" hidden="1" x14ac:dyDescent="0.2">
      <c r="C5455" s="180"/>
    </row>
    <row r="5456" spans="3:3" s="181" customFormat="1" hidden="1" x14ac:dyDescent="0.2">
      <c r="C5456" s="180"/>
    </row>
    <row r="5457" spans="3:3" s="181" customFormat="1" hidden="1" x14ac:dyDescent="0.2">
      <c r="C5457" s="180"/>
    </row>
    <row r="5458" spans="3:3" s="181" customFormat="1" hidden="1" x14ac:dyDescent="0.2">
      <c r="C5458" s="180"/>
    </row>
    <row r="5459" spans="3:3" s="181" customFormat="1" hidden="1" x14ac:dyDescent="0.2">
      <c r="C5459" s="180"/>
    </row>
    <row r="5460" spans="3:3" s="181" customFormat="1" hidden="1" x14ac:dyDescent="0.2">
      <c r="C5460" s="180"/>
    </row>
    <row r="5461" spans="3:3" s="181" customFormat="1" hidden="1" x14ac:dyDescent="0.2">
      <c r="C5461" s="180"/>
    </row>
    <row r="5462" spans="3:3" s="181" customFormat="1" hidden="1" x14ac:dyDescent="0.2">
      <c r="C5462" s="180"/>
    </row>
    <row r="5463" spans="3:3" s="181" customFormat="1" hidden="1" x14ac:dyDescent="0.2">
      <c r="C5463" s="180"/>
    </row>
    <row r="5464" spans="3:3" s="181" customFormat="1" hidden="1" x14ac:dyDescent="0.2">
      <c r="C5464" s="180"/>
    </row>
    <row r="5465" spans="3:3" s="181" customFormat="1" hidden="1" x14ac:dyDescent="0.2">
      <c r="C5465" s="180"/>
    </row>
    <row r="5466" spans="3:3" s="181" customFormat="1" hidden="1" x14ac:dyDescent="0.2">
      <c r="C5466" s="180"/>
    </row>
    <row r="5467" spans="3:3" s="181" customFormat="1" hidden="1" x14ac:dyDescent="0.2">
      <c r="C5467" s="180"/>
    </row>
    <row r="5468" spans="3:3" s="181" customFormat="1" hidden="1" x14ac:dyDescent="0.2">
      <c r="C5468" s="180"/>
    </row>
    <row r="5469" spans="3:3" s="181" customFormat="1" hidden="1" x14ac:dyDescent="0.2">
      <c r="C5469" s="180"/>
    </row>
    <row r="5470" spans="3:3" s="181" customFormat="1" hidden="1" x14ac:dyDescent="0.2">
      <c r="C5470" s="180"/>
    </row>
    <row r="5471" spans="3:3" s="181" customFormat="1" hidden="1" x14ac:dyDescent="0.2">
      <c r="C5471" s="180"/>
    </row>
    <row r="5472" spans="3:3" s="181" customFormat="1" hidden="1" x14ac:dyDescent="0.2">
      <c r="C5472" s="180"/>
    </row>
    <row r="5473" spans="3:3" s="181" customFormat="1" hidden="1" x14ac:dyDescent="0.2">
      <c r="C5473" s="180"/>
    </row>
    <row r="5474" spans="3:3" s="181" customFormat="1" hidden="1" x14ac:dyDescent="0.2">
      <c r="C5474" s="180"/>
    </row>
    <row r="5475" spans="3:3" s="181" customFormat="1" hidden="1" x14ac:dyDescent="0.2">
      <c r="C5475" s="180"/>
    </row>
    <row r="5476" spans="3:3" s="181" customFormat="1" hidden="1" x14ac:dyDescent="0.2">
      <c r="C5476" s="180"/>
    </row>
    <row r="5477" spans="3:3" s="181" customFormat="1" hidden="1" x14ac:dyDescent="0.2">
      <c r="C5477" s="180"/>
    </row>
    <row r="5478" spans="3:3" s="181" customFormat="1" hidden="1" x14ac:dyDescent="0.2">
      <c r="C5478" s="180"/>
    </row>
    <row r="5479" spans="3:3" s="181" customFormat="1" hidden="1" x14ac:dyDescent="0.2">
      <c r="C5479" s="180"/>
    </row>
    <row r="5480" spans="3:3" s="181" customFormat="1" hidden="1" x14ac:dyDescent="0.2">
      <c r="C5480" s="180"/>
    </row>
    <row r="5481" spans="3:3" s="181" customFormat="1" hidden="1" x14ac:dyDescent="0.2">
      <c r="C5481" s="180"/>
    </row>
    <row r="5482" spans="3:3" s="181" customFormat="1" hidden="1" x14ac:dyDescent="0.2">
      <c r="C5482" s="180"/>
    </row>
    <row r="5483" spans="3:3" s="181" customFormat="1" hidden="1" x14ac:dyDescent="0.2">
      <c r="C5483" s="180"/>
    </row>
    <row r="5484" spans="3:3" s="181" customFormat="1" hidden="1" x14ac:dyDescent="0.2">
      <c r="C5484" s="180"/>
    </row>
    <row r="5485" spans="3:3" s="181" customFormat="1" hidden="1" x14ac:dyDescent="0.2">
      <c r="C5485" s="180"/>
    </row>
    <row r="5486" spans="3:3" s="181" customFormat="1" hidden="1" x14ac:dyDescent="0.2">
      <c r="C5486" s="180"/>
    </row>
    <row r="5487" spans="3:3" s="181" customFormat="1" hidden="1" x14ac:dyDescent="0.2">
      <c r="C5487" s="180"/>
    </row>
    <row r="5488" spans="3:3" s="181" customFormat="1" hidden="1" x14ac:dyDescent="0.2">
      <c r="C5488" s="180"/>
    </row>
    <row r="5489" spans="3:3" s="181" customFormat="1" hidden="1" x14ac:dyDescent="0.2">
      <c r="C5489" s="180"/>
    </row>
    <row r="5490" spans="3:3" s="181" customFormat="1" hidden="1" x14ac:dyDescent="0.2">
      <c r="C5490" s="180"/>
    </row>
    <row r="5491" spans="3:3" s="181" customFormat="1" hidden="1" x14ac:dyDescent="0.2">
      <c r="C5491" s="180"/>
    </row>
    <row r="5492" spans="3:3" s="181" customFormat="1" hidden="1" x14ac:dyDescent="0.2">
      <c r="C5492" s="180"/>
    </row>
    <row r="5493" spans="3:3" s="181" customFormat="1" hidden="1" x14ac:dyDescent="0.2">
      <c r="C5493" s="180"/>
    </row>
    <row r="5494" spans="3:3" s="181" customFormat="1" hidden="1" x14ac:dyDescent="0.2">
      <c r="C5494" s="180"/>
    </row>
    <row r="5495" spans="3:3" s="181" customFormat="1" hidden="1" x14ac:dyDescent="0.2">
      <c r="C5495" s="180"/>
    </row>
    <row r="5496" spans="3:3" s="181" customFormat="1" hidden="1" x14ac:dyDescent="0.2">
      <c r="C5496" s="180"/>
    </row>
    <row r="5497" spans="3:3" s="181" customFormat="1" hidden="1" x14ac:dyDescent="0.2">
      <c r="C5497" s="180"/>
    </row>
    <row r="5498" spans="3:3" s="181" customFormat="1" hidden="1" x14ac:dyDescent="0.2">
      <c r="C5498" s="180"/>
    </row>
    <row r="5499" spans="3:3" s="181" customFormat="1" hidden="1" x14ac:dyDescent="0.2">
      <c r="C5499" s="180"/>
    </row>
    <row r="5500" spans="3:3" s="181" customFormat="1" hidden="1" x14ac:dyDescent="0.2">
      <c r="C5500" s="180"/>
    </row>
    <row r="5501" spans="3:3" s="181" customFormat="1" hidden="1" x14ac:dyDescent="0.2">
      <c r="C5501" s="180"/>
    </row>
    <row r="5502" spans="3:3" s="181" customFormat="1" hidden="1" x14ac:dyDescent="0.2">
      <c r="C5502" s="180"/>
    </row>
    <row r="5503" spans="3:3" s="181" customFormat="1" hidden="1" x14ac:dyDescent="0.2">
      <c r="C5503" s="180"/>
    </row>
    <row r="5504" spans="3:3" s="181" customFormat="1" hidden="1" x14ac:dyDescent="0.2">
      <c r="C5504" s="180"/>
    </row>
    <row r="5505" spans="3:3" s="181" customFormat="1" hidden="1" x14ac:dyDescent="0.2">
      <c r="C5505" s="180"/>
    </row>
    <row r="5506" spans="3:3" s="181" customFormat="1" hidden="1" x14ac:dyDescent="0.2">
      <c r="C5506" s="180"/>
    </row>
    <row r="5507" spans="3:3" s="181" customFormat="1" hidden="1" x14ac:dyDescent="0.2">
      <c r="C5507" s="180"/>
    </row>
    <row r="5508" spans="3:3" s="181" customFormat="1" hidden="1" x14ac:dyDescent="0.2">
      <c r="C5508" s="180"/>
    </row>
    <row r="5509" spans="3:3" s="181" customFormat="1" hidden="1" x14ac:dyDescent="0.2">
      <c r="C5509" s="180"/>
    </row>
    <row r="5510" spans="3:3" s="181" customFormat="1" hidden="1" x14ac:dyDescent="0.2">
      <c r="C5510" s="180"/>
    </row>
    <row r="5511" spans="3:3" s="181" customFormat="1" hidden="1" x14ac:dyDescent="0.2">
      <c r="C5511" s="180"/>
    </row>
    <row r="5512" spans="3:3" s="181" customFormat="1" hidden="1" x14ac:dyDescent="0.2">
      <c r="C5512" s="180"/>
    </row>
    <row r="5513" spans="3:3" s="181" customFormat="1" hidden="1" x14ac:dyDescent="0.2">
      <c r="C5513" s="180"/>
    </row>
    <row r="5514" spans="3:3" s="181" customFormat="1" hidden="1" x14ac:dyDescent="0.2">
      <c r="C5514" s="180"/>
    </row>
    <row r="5515" spans="3:3" s="181" customFormat="1" hidden="1" x14ac:dyDescent="0.2">
      <c r="C5515" s="180"/>
    </row>
    <row r="5516" spans="3:3" s="181" customFormat="1" hidden="1" x14ac:dyDescent="0.2">
      <c r="C5516" s="180"/>
    </row>
    <row r="5517" spans="3:3" s="181" customFormat="1" hidden="1" x14ac:dyDescent="0.2">
      <c r="C5517" s="180"/>
    </row>
    <row r="5518" spans="3:3" s="181" customFormat="1" hidden="1" x14ac:dyDescent="0.2">
      <c r="C5518" s="180"/>
    </row>
    <row r="5519" spans="3:3" s="181" customFormat="1" hidden="1" x14ac:dyDescent="0.2">
      <c r="C5519" s="180"/>
    </row>
    <row r="5520" spans="3:3" s="181" customFormat="1" hidden="1" x14ac:dyDescent="0.2">
      <c r="C5520" s="180"/>
    </row>
    <row r="5521" spans="3:3" s="181" customFormat="1" hidden="1" x14ac:dyDescent="0.2">
      <c r="C5521" s="180"/>
    </row>
    <row r="5522" spans="3:3" s="181" customFormat="1" hidden="1" x14ac:dyDescent="0.2">
      <c r="C5522" s="180"/>
    </row>
    <row r="5523" spans="3:3" s="181" customFormat="1" hidden="1" x14ac:dyDescent="0.2">
      <c r="C5523" s="180"/>
    </row>
    <row r="5524" spans="3:3" s="181" customFormat="1" hidden="1" x14ac:dyDescent="0.2">
      <c r="C5524" s="180"/>
    </row>
    <row r="5525" spans="3:3" s="181" customFormat="1" hidden="1" x14ac:dyDescent="0.2">
      <c r="C5525" s="180"/>
    </row>
    <row r="5526" spans="3:3" s="181" customFormat="1" hidden="1" x14ac:dyDescent="0.2">
      <c r="C5526" s="180"/>
    </row>
    <row r="5527" spans="3:3" s="181" customFormat="1" hidden="1" x14ac:dyDescent="0.2">
      <c r="C5527" s="180"/>
    </row>
    <row r="5528" spans="3:3" s="181" customFormat="1" hidden="1" x14ac:dyDescent="0.2">
      <c r="C5528" s="180"/>
    </row>
    <row r="5529" spans="3:3" s="181" customFormat="1" hidden="1" x14ac:dyDescent="0.2">
      <c r="C5529" s="180"/>
    </row>
    <row r="5530" spans="3:3" s="181" customFormat="1" hidden="1" x14ac:dyDescent="0.2">
      <c r="C5530" s="180"/>
    </row>
    <row r="5531" spans="3:3" s="181" customFormat="1" hidden="1" x14ac:dyDescent="0.2">
      <c r="C5531" s="180"/>
    </row>
    <row r="5532" spans="3:3" s="181" customFormat="1" hidden="1" x14ac:dyDescent="0.2">
      <c r="C5532" s="180"/>
    </row>
    <row r="5533" spans="3:3" s="181" customFormat="1" hidden="1" x14ac:dyDescent="0.2">
      <c r="C5533" s="180"/>
    </row>
    <row r="5534" spans="3:3" s="181" customFormat="1" hidden="1" x14ac:dyDescent="0.2">
      <c r="C5534" s="180"/>
    </row>
    <row r="5535" spans="3:3" s="181" customFormat="1" hidden="1" x14ac:dyDescent="0.2">
      <c r="C5535" s="180"/>
    </row>
    <row r="5536" spans="3:3" s="181" customFormat="1" hidden="1" x14ac:dyDescent="0.2">
      <c r="C5536" s="180"/>
    </row>
    <row r="5537" spans="3:3" s="181" customFormat="1" hidden="1" x14ac:dyDescent="0.2">
      <c r="C5537" s="180"/>
    </row>
    <row r="5538" spans="3:3" s="181" customFormat="1" hidden="1" x14ac:dyDescent="0.2">
      <c r="C5538" s="180"/>
    </row>
    <row r="5539" spans="3:3" s="181" customFormat="1" hidden="1" x14ac:dyDescent="0.2">
      <c r="C5539" s="180"/>
    </row>
    <row r="5540" spans="3:3" s="181" customFormat="1" hidden="1" x14ac:dyDescent="0.2">
      <c r="C5540" s="180"/>
    </row>
    <row r="5541" spans="3:3" s="181" customFormat="1" hidden="1" x14ac:dyDescent="0.2">
      <c r="C5541" s="180"/>
    </row>
    <row r="5542" spans="3:3" s="181" customFormat="1" hidden="1" x14ac:dyDescent="0.2">
      <c r="C5542" s="180"/>
    </row>
    <row r="5543" spans="3:3" s="181" customFormat="1" hidden="1" x14ac:dyDescent="0.2">
      <c r="C5543" s="180"/>
    </row>
    <row r="5544" spans="3:3" s="181" customFormat="1" hidden="1" x14ac:dyDescent="0.2">
      <c r="C5544" s="180"/>
    </row>
    <row r="5545" spans="3:3" s="181" customFormat="1" hidden="1" x14ac:dyDescent="0.2">
      <c r="C5545" s="180"/>
    </row>
    <row r="5546" spans="3:3" s="181" customFormat="1" hidden="1" x14ac:dyDescent="0.2">
      <c r="C5546" s="180"/>
    </row>
    <row r="5547" spans="3:3" s="181" customFormat="1" hidden="1" x14ac:dyDescent="0.2">
      <c r="C5547" s="180"/>
    </row>
    <row r="5548" spans="3:3" s="181" customFormat="1" hidden="1" x14ac:dyDescent="0.2">
      <c r="C5548" s="180"/>
    </row>
    <row r="5549" spans="3:3" s="181" customFormat="1" hidden="1" x14ac:dyDescent="0.2">
      <c r="C5549" s="180"/>
    </row>
    <row r="5550" spans="3:3" s="181" customFormat="1" hidden="1" x14ac:dyDescent="0.2">
      <c r="C5550" s="180"/>
    </row>
    <row r="5551" spans="3:3" s="181" customFormat="1" hidden="1" x14ac:dyDescent="0.2">
      <c r="C5551" s="180"/>
    </row>
    <row r="5552" spans="3:3" s="181" customFormat="1" hidden="1" x14ac:dyDescent="0.2">
      <c r="C5552" s="180"/>
    </row>
    <row r="5553" spans="3:3" s="181" customFormat="1" hidden="1" x14ac:dyDescent="0.2">
      <c r="C5553" s="180"/>
    </row>
    <row r="5554" spans="3:3" s="181" customFormat="1" hidden="1" x14ac:dyDescent="0.2">
      <c r="C5554" s="180"/>
    </row>
    <row r="5555" spans="3:3" s="181" customFormat="1" hidden="1" x14ac:dyDescent="0.2">
      <c r="C5555" s="180"/>
    </row>
    <row r="5556" spans="3:3" s="181" customFormat="1" hidden="1" x14ac:dyDescent="0.2">
      <c r="C5556" s="180"/>
    </row>
    <row r="5557" spans="3:3" s="181" customFormat="1" hidden="1" x14ac:dyDescent="0.2">
      <c r="C5557" s="180"/>
    </row>
    <row r="5558" spans="3:3" s="181" customFormat="1" hidden="1" x14ac:dyDescent="0.2">
      <c r="C5558" s="180"/>
    </row>
    <row r="5559" spans="3:3" s="181" customFormat="1" hidden="1" x14ac:dyDescent="0.2">
      <c r="C5559" s="180"/>
    </row>
    <row r="5560" spans="3:3" s="181" customFormat="1" hidden="1" x14ac:dyDescent="0.2">
      <c r="C5560" s="180"/>
    </row>
    <row r="5561" spans="3:3" s="181" customFormat="1" hidden="1" x14ac:dyDescent="0.2">
      <c r="C5561" s="180"/>
    </row>
    <row r="5562" spans="3:3" s="181" customFormat="1" hidden="1" x14ac:dyDescent="0.2">
      <c r="C5562" s="180"/>
    </row>
    <row r="5563" spans="3:3" s="181" customFormat="1" hidden="1" x14ac:dyDescent="0.2">
      <c r="C5563" s="180"/>
    </row>
    <row r="5564" spans="3:3" s="181" customFormat="1" hidden="1" x14ac:dyDescent="0.2">
      <c r="C5564" s="180"/>
    </row>
    <row r="5565" spans="3:3" s="181" customFormat="1" hidden="1" x14ac:dyDescent="0.2">
      <c r="C5565" s="180"/>
    </row>
    <row r="5566" spans="3:3" s="181" customFormat="1" hidden="1" x14ac:dyDescent="0.2">
      <c r="C5566" s="180"/>
    </row>
    <row r="5567" spans="3:3" s="181" customFormat="1" hidden="1" x14ac:dyDescent="0.2">
      <c r="C5567" s="180"/>
    </row>
    <row r="5568" spans="3:3" s="181" customFormat="1" hidden="1" x14ac:dyDescent="0.2">
      <c r="C5568" s="180"/>
    </row>
    <row r="5569" spans="3:3" s="181" customFormat="1" hidden="1" x14ac:dyDescent="0.2">
      <c r="C5569" s="180"/>
    </row>
    <row r="5570" spans="3:3" s="181" customFormat="1" hidden="1" x14ac:dyDescent="0.2">
      <c r="C5570" s="180"/>
    </row>
    <row r="5571" spans="3:3" s="181" customFormat="1" hidden="1" x14ac:dyDescent="0.2">
      <c r="C5571" s="180"/>
    </row>
    <row r="5572" spans="3:3" s="181" customFormat="1" hidden="1" x14ac:dyDescent="0.2">
      <c r="C5572" s="180"/>
    </row>
    <row r="5573" spans="3:3" s="181" customFormat="1" hidden="1" x14ac:dyDescent="0.2">
      <c r="C5573" s="180"/>
    </row>
    <row r="5574" spans="3:3" s="181" customFormat="1" hidden="1" x14ac:dyDescent="0.2">
      <c r="C5574" s="180"/>
    </row>
    <row r="5575" spans="3:3" s="181" customFormat="1" hidden="1" x14ac:dyDescent="0.2">
      <c r="C5575" s="180"/>
    </row>
    <row r="5576" spans="3:3" s="181" customFormat="1" hidden="1" x14ac:dyDescent="0.2">
      <c r="C5576" s="180"/>
    </row>
    <row r="5577" spans="3:3" s="181" customFormat="1" hidden="1" x14ac:dyDescent="0.2">
      <c r="C5577" s="180"/>
    </row>
    <row r="5578" spans="3:3" s="181" customFormat="1" hidden="1" x14ac:dyDescent="0.2">
      <c r="C5578" s="180"/>
    </row>
    <row r="5579" spans="3:3" s="181" customFormat="1" hidden="1" x14ac:dyDescent="0.2">
      <c r="C5579" s="180"/>
    </row>
    <row r="5580" spans="3:3" s="181" customFormat="1" hidden="1" x14ac:dyDescent="0.2">
      <c r="C5580" s="180"/>
    </row>
    <row r="5581" spans="3:3" s="181" customFormat="1" hidden="1" x14ac:dyDescent="0.2">
      <c r="C5581" s="180"/>
    </row>
    <row r="5582" spans="3:3" s="181" customFormat="1" hidden="1" x14ac:dyDescent="0.2">
      <c r="C5582" s="180"/>
    </row>
    <row r="5583" spans="3:3" s="181" customFormat="1" hidden="1" x14ac:dyDescent="0.2">
      <c r="C5583" s="180"/>
    </row>
    <row r="5584" spans="3:3" s="181" customFormat="1" hidden="1" x14ac:dyDescent="0.2">
      <c r="C5584" s="180"/>
    </row>
    <row r="5585" spans="3:3" s="181" customFormat="1" hidden="1" x14ac:dyDescent="0.2">
      <c r="C5585" s="180"/>
    </row>
    <row r="5586" spans="3:3" s="181" customFormat="1" hidden="1" x14ac:dyDescent="0.2">
      <c r="C5586" s="180"/>
    </row>
    <row r="5587" spans="3:3" s="181" customFormat="1" hidden="1" x14ac:dyDescent="0.2">
      <c r="C5587" s="180"/>
    </row>
    <row r="5588" spans="3:3" s="181" customFormat="1" hidden="1" x14ac:dyDescent="0.2">
      <c r="C5588" s="180"/>
    </row>
    <row r="5589" spans="3:3" s="181" customFormat="1" hidden="1" x14ac:dyDescent="0.2">
      <c r="C5589" s="180"/>
    </row>
    <row r="5590" spans="3:3" s="181" customFormat="1" hidden="1" x14ac:dyDescent="0.2">
      <c r="C5590" s="180"/>
    </row>
    <row r="5591" spans="3:3" s="181" customFormat="1" hidden="1" x14ac:dyDescent="0.2">
      <c r="C5591" s="180"/>
    </row>
    <row r="5592" spans="3:3" s="181" customFormat="1" hidden="1" x14ac:dyDescent="0.2">
      <c r="C5592" s="180"/>
    </row>
    <row r="5593" spans="3:3" s="181" customFormat="1" hidden="1" x14ac:dyDescent="0.2">
      <c r="C5593" s="180"/>
    </row>
    <row r="5594" spans="3:3" s="181" customFormat="1" hidden="1" x14ac:dyDescent="0.2">
      <c r="C5594" s="180"/>
    </row>
    <row r="5595" spans="3:3" s="181" customFormat="1" hidden="1" x14ac:dyDescent="0.2">
      <c r="C5595" s="180"/>
    </row>
    <row r="5596" spans="3:3" s="181" customFormat="1" hidden="1" x14ac:dyDescent="0.2">
      <c r="C5596" s="180"/>
    </row>
    <row r="5597" spans="3:3" s="181" customFormat="1" hidden="1" x14ac:dyDescent="0.2">
      <c r="C5597" s="180"/>
    </row>
    <row r="5598" spans="3:3" s="181" customFormat="1" hidden="1" x14ac:dyDescent="0.2">
      <c r="C5598" s="180"/>
    </row>
    <row r="5599" spans="3:3" s="181" customFormat="1" hidden="1" x14ac:dyDescent="0.2">
      <c r="C5599" s="180"/>
    </row>
    <row r="5600" spans="3:3" s="181" customFormat="1" hidden="1" x14ac:dyDescent="0.2">
      <c r="C5600" s="180"/>
    </row>
    <row r="5601" spans="3:3" s="181" customFormat="1" hidden="1" x14ac:dyDescent="0.2">
      <c r="C5601" s="180"/>
    </row>
    <row r="5602" spans="3:3" s="181" customFormat="1" hidden="1" x14ac:dyDescent="0.2">
      <c r="C5602" s="180"/>
    </row>
    <row r="5603" spans="3:3" s="181" customFormat="1" hidden="1" x14ac:dyDescent="0.2">
      <c r="C5603" s="180"/>
    </row>
    <row r="5604" spans="3:3" s="181" customFormat="1" hidden="1" x14ac:dyDescent="0.2">
      <c r="C5604" s="180"/>
    </row>
    <row r="5605" spans="3:3" s="181" customFormat="1" hidden="1" x14ac:dyDescent="0.2">
      <c r="C5605" s="180"/>
    </row>
    <row r="5606" spans="3:3" s="181" customFormat="1" hidden="1" x14ac:dyDescent="0.2">
      <c r="C5606" s="180"/>
    </row>
    <row r="5607" spans="3:3" s="181" customFormat="1" hidden="1" x14ac:dyDescent="0.2">
      <c r="C5607" s="180"/>
    </row>
    <row r="5608" spans="3:3" s="181" customFormat="1" hidden="1" x14ac:dyDescent="0.2">
      <c r="C5608" s="180"/>
    </row>
    <row r="5609" spans="3:3" s="181" customFormat="1" hidden="1" x14ac:dyDescent="0.2">
      <c r="C5609" s="180"/>
    </row>
    <row r="5610" spans="3:3" s="181" customFormat="1" hidden="1" x14ac:dyDescent="0.2">
      <c r="C5610" s="180"/>
    </row>
    <row r="5611" spans="3:3" s="181" customFormat="1" hidden="1" x14ac:dyDescent="0.2">
      <c r="C5611" s="180"/>
    </row>
    <row r="5612" spans="3:3" s="181" customFormat="1" hidden="1" x14ac:dyDescent="0.2">
      <c r="C5612" s="180"/>
    </row>
    <row r="5613" spans="3:3" s="181" customFormat="1" hidden="1" x14ac:dyDescent="0.2">
      <c r="C5613" s="180"/>
    </row>
    <row r="5614" spans="3:3" s="181" customFormat="1" hidden="1" x14ac:dyDescent="0.2">
      <c r="C5614" s="180"/>
    </row>
    <row r="5615" spans="3:3" s="181" customFormat="1" hidden="1" x14ac:dyDescent="0.2">
      <c r="C5615" s="180"/>
    </row>
    <row r="5616" spans="3:3" s="181" customFormat="1" hidden="1" x14ac:dyDescent="0.2">
      <c r="C5616" s="180"/>
    </row>
    <row r="5617" spans="3:3" s="181" customFormat="1" hidden="1" x14ac:dyDescent="0.2">
      <c r="C5617" s="180"/>
    </row>
    <row r="5618" spans="3:3" s="181" customFormat="1" hidden="1" x14ac:dyDescent="0.2">
      <c r="C5618" s="180"/>
    </row>
    <row r="5619" spans="3:3" s="181" customFormat="1" hidden="1" x14ac:dyDescent="0.2">
      <c r="C5619" s="180"/>
    </row>
    <row r="5620" spans="3:3" s="181" customFormat="1" hidden="1" x14ac:dyDescent="0.2">
      <c r="C5620" s="180"/>
    </row>
    <row r="5621" spans="3:3" s="181" customFormat="1" hidden="1" x14ac:dyDescent="0.2">
      <c r="C5621" s="180"/>
    </row>
    <row r="5622" spans="3:3" s="181" customFormat="1" hidden="1" x14ac:dyDescent="0.2">
      <c r="C5622" s="180"/>
    </row>
    <row r="5623" spans="3:3" s="181" customFormat="1" hidden="1" x14ac:dyDescent="0.2">
      <c r="C5623" s="180"/>
    </row>
    <row r="5624" spans="3:3" s="181" customFormat="1" hidden="1" x14ac:dyDescent="0.2">
      <c r="C5624" s="180"/>
    </row>
    <row r="5625" spans="3:3" s="181" customFormat="1" hidden="1" x14ac:dyDescent="0.2">
      <c r="C5625" s="180"/>
    </row>
    <row r="5626" spans="3:3" s="181" customFormat="1" hidden="1" x14ac:dyDescent="0.2">
      <c r="C5626" s="180"/>
    </row>
    <row r="5627" spans="3:3" s="181" customFormat="1" hidden="1" x14ac:dyDescent="0.2">
      <c r="C5627" s="180"/>
    </row>
    <row r="5628" spans="3:3" s="181" customFormat="1" hidden="1" x14ac:dyDescent="0.2">
      <c r="C5628" s="180"/>
    </row>
    <row r="5629" spans="3:3" s="181" customFormat="1" hidden="1" x14ac:dyDescent="0.2">
      <c r="C5629" s="180"/>
    </row>
    <row r="5630" spans="3:3" s="181" customFormat="1" hidden="1" x14ac:dyDescent="0.2">
      <c r="C5630" s="180"/>
    </row>
    <row r="5631" spans="3:3" s="181" customFormat="1" hidden="1" x14ac:dyDescent="0.2">
      <c r="C5631" s="180"/>
    </row>
    <row r="5632" spans="3:3" s="181" customFormat="1" hidden="1" x14ac:dyDescent="0.2">
      <c r="C5632" s="180"/>
    </row>
    <row r="5633" spans="3:3" s="181" customFormat="1" hidden="1" x14ac:dyDescent="0.2">
      <c r="C5633" s="180"/>
    </row>
    <row r="5634" spans="3:3" s="181" customFormat="1" hidden="1" x14ac:dyDescent="0.2">
      <c r="C5634" s="180"/>
    </row>
    <row r="5635" spans="3:3" s="181" customFormat="1" hidden="1" x14ac:dyDescent="0.2">
      <c r="C5635" s="180"/>
    </row>
    <row r="5636" spans="3:3" s="181" customFormat="1" hidden="1" x14ac:dyDescent="0.2">
      <c r="C5636" s="180"/>
    </row>
    <row r="5637" spans="3:3" s="181" customFormat="1" hidden="1" x14ac:dyDescent="0.2">
      <c r="C5637" s="180"/>
    </row>
    <row r="5638" spans="3:3" s="181" customFormat="1" hidden="1" x14ac:dyDescent="0.2">
      <c r="C5638" s="180"/>
    </row>
    <row r="5639" spans="3:3" s="181" customFormat="1" hidden="1" x14ac:dyDescent="0.2">
      <c r="C5639" s="180"/>
    </row>
    <row r="5640" spans="3:3" s="181" customFormat="1" hidden="1" x14ac:dyDescent="0.2">
      <c r="C5640" s="180"/>
    </row>
    <row r="5641" spans="3:3" s="181" customFormat="1" hidden="1" x14ac:dyDescent="0.2">
      <c r="C5641" s="180"/>
    </row>
    <row r="5642" spans="3:3" s="181" customFormat="1" hidden="1" x14ac:dyDescent="0.2">
      <c r="C5642" s="180"/>
    </row>
    <row r="5643" spans="3:3" s="181" customFormat="1" hidden="1" x14ac:dyDescent="0.2">
      <c r="C5643" s="180"/>
    </row>
    <row r="5644" spans="3:3" s="181" customFormat="1" hidden="1" x14ac:dyDescent="0.2">
      <c r="C5644" s="180"/>
    </row>
    <row r="5645" spans="3:3" s="181" customFormat="1" hidden="1" x14ac:dyDescent="0.2">
      <c r="C5645" s="180"/>
    </row>
    <row r="5646" spans="3:3" s="181" customFormat="1" hidden="1" x14ac:dyDescent="0.2">
      <c r="C5646" s="180"/>
    </row>
    <row r="5647" spans="3:3" s="181" customFormat="1" hidden="1" x14ac:dyDescent="0.2">
      <c r="C5647" s="180"/>
    </row>
    <row r="5648" spans="3:3" s="181" customFormat="1" hidden="1" x14ac:dyDescent="0.2">
      <c r="C5648" s="180"/>
    </row>
    <row r="5649" spans="3:3" s="181" customFormat="1" hidden="1" x14ac:dyDescent="0.2">
      <c r="C5649" s="180"/>
    </row>
    <row r="5650" spans="3:3" s="181" customFormat="1" hidden="1" x14ac:dyDescent="0.2">
      <c r="C5650" s="180"/>
    </row>
    <row r="5651" spans="3:3" s="181" customFormat="1" hidden="1" x14ac:dyDescent="0.2">
      <c r="C5651" s="180"/>
    </row>
    <row r="5652" spans="3:3" s="181" customFormat="1" hidden="1" x14ac:dyDescent="0.2">
      <c r="C5652" s="180"/>
    </row>
    <row r="5653" spans="3:3" s="181" customFormat="1" hidden="1" x14ac:dyDescent="0.2">
      <c r="C5653" s="180"/>
    </row>
    <row r="5654" spans="3:3" s="181" customFormat="1" hidden="1" x14ac:dyDescent="0.2">
      <c r="C5654" s="180"/>
    </row>
    <row r="5655" spans="3:3" s="181" customFormat="1" hidden="1" x14ac:dyDescent="0.2">
      <c r="C5655" s="180"/>
    </row>
    <row r="5656" spans="3:3" s="181" customFormat="1" hidden="1" x14ac:dyDescent="0.2">
      <c r="C5656" s="180"/>
    </row>
    <row r="5657" spans="3:3" s="181" customFormat="1" hidden="1" x14ac:dyDescent="0.2">
      <c r="C5657" s="180"/>
    </row>
    <row r="5658" spans="3:3" s="181" customFormat="1" hidden="1" x14ac:dyDescent="0.2">
      <c r="C5658" s="180"/>
    </row>
    <row r="5659" spans="3:3" s="181" customFormat="1" hidden="1" x14ac:dyDescent="0.2">
      <c r="C5659" s="180"/>
    </row>
    <row r="5660" spans="3:3" s="181" customFormat="1" hidden="1" x14ac:dyDescent="0.2">
      <c r="C5660" s="180"/>
    </row>
    <row r="5661" spans="3:3" s="181" customFormat="1" hidden="1" x14ac:dyDescent="0.2">
      <c r="C5661" s="180"/>
    </row>
    <row r="5662" spans="3:3" s="181" customFormat="1" hidden="1" x14ac:dyDescent="0.2">
      <c r="C5662" s="180"/>
    </row>
    <row r="5663" spans="3:3" s="181" customFormat="1" hidden="1" x14ac:dyDescent="0.2">
      <c r="C5663" s="180"/>
    </row>
    <row r="5664" spans="3:3" s="181" customFormat="1" hidden="1" x14ac:dyDescent="0.2">
      <c r="C5664" s="180"/>
    </row>
    <row r="5665" spans="3:3" s="181" customFormat="1" hidden="1" x14ac:dyDescent="0.2">
      <c r="C5665" s="180"/>
    </row>
    <row r="5666" spans="3:3" s="181" customFormat="1" hidden="1" x14ac:dyDescent="0.2">
      <c r="C5666" s="180"/>
    </row>
    <row r="5667" spans="3:3" s="181" customFormat="1" hidden="1" x14ac:dyDescent="0.2">
      <c r="C5667" s="180"/>
    </row>
    <row r="5668" spans="3:3" s="181" customFormat="1" hidden="1" x14ac:dyDescent="0.2">
      <c r="C5668" s="180"/>
    </row>
    <row r="5669" spans="3:3" s="181" customFormat="1" hidden="1" x14ac:dyDescent="0.2">
      <c r="C5669" s="180"/>
    </row>
    <row r="5670" spans="3:3" s="181" customFormat="1" hidden="1" x14ac:dyDescent="0.2">
      <c r="C5670" s="180"/>
    </row>
    <row r="5671" spans="3:3" s="181" customFormat="1" hidden="1" x14ac:dyDescent="0.2">
      <c r="C5671" s="180"/>
    </row>
    <row r="5672" spans="3:3" s="181" customFormat="1" hidden="1" x14ac:dyDescent="0.2">
      <c r="C5672" s="180"/>
    </row>
    <row r="5673" spans="3:3" s="181" customFormat="1" hidden="1" x14ac:dyDescent="0.2">
      <c r="C5673" s="180"/>
    </row>
    <row r="5674" spans="3:3" s="181" customFormat="1" hidden="1" x14ac:dyDescent="0.2">
      <c r="C5674" s="180"/>
    </row>
    <row r="5675" spans="3:3" s="181" customFormat="1" hidden="1" x14ac:dyDescent="0.2">
      <c r="C5675" s="180"/>
    </row>
    <row r="5676" spans="3:3" s="181" customFormat="1" hidden="1" x14ac:dyDescent="0.2">
      <c r="C5676" s="180"/>
    </row>
    <row r="5677" spans="3:3" s="181" customFormat="1" hidden="1" x14ac:dyDescent="0.2">
      <c r="C5677" s="180"/>
    </row>
    <row r="5678" spans="3:3" s="181" customFormat="1" hidden="1" x14ac:dyDescent="0.2">
      <c r="C5678" s="180"/>
    </row>
    <row r="5679" spans="3:3" s="181" customFormat="1" hidden="1" x14ac:dyDescent="0.2">
      <c r="C5679" s="180"/>
    </row>
    <row r="5680" spans="3:3" s="181" customFormat="1" hidden="1" x14ac:dyDescent="0.2">
      <c r="C5680" s="180"/>
    </row>
    <row r="5681" spans="3:3" s="181" customFormat="1" hidden="1" x14ac:dyDescent="0.2">
      <c r="C5681" s="180"/>
    </row>
    <row r="5682" spans="3:3" s="181" customFormat="1" hidden="1" x14ac:dyDescent="0.2">
      <c r="C5682" s="180"/>
    </row>
    <row r="5683" spans="3:3" s="181" customFormat="1" hidden="1" x14ac:dyDescent="0.2">
      <c r="C5683" s="180"/>
    </row>
    <row r="5684" spans="3:3" s="181" customFormat="1" hidden="1" x14ac:dyDescent="0.2">
      <c r="C5684" s="180"/>
    </row>
    <row r="5685" spans="3:3" s="181" customFormat="1" hidden="1" x14ac:dyDescent="0.2">
      <c r="C5685" s="180"/>
    </row>
    <row r="5686" spans="3:3" s="181" customFormat="1" hidden="1" x14ac:dyDescent="0.2">
      <c r="C5686" s="180"/>
    </row>
    <row r="5687" spans="3:3" s="181" customFormat="1" hidden="1" x14ac:dyDescent="0.2">
      <c r="C5687" s="180"/>
    </row>
    <row r="5688" spans="3:3" s="181" customFormat="1" hidden="1" x14ac:dyDescent="0.2">
      <c r="C5688" s="180"/>
    </row>
    <row r="5689" spans="3:3" s="181" customFormat="1" hidden="1" x14ac:dyDescent="0.2">
      <c r="C5689" s="180"/>
    </row>
    <row r="5690" spans="3:3" s="181" customFormat="1" hidden="1" x14ac:dyDescent="0.2">
      <c r="C5690" s="180"/>
    </row>
    <row r="5691" spans="3:3" s="181" customFormat="1" hidden="1" x14ac:dyDescent="0.2">
      <c r="C5691" s="180"/>
    </row>
    <row r="5692" spans="3:3" s="181" customFormat="1" hidden="1" x14ac:dyDescent="0.2">
      <c r="C5692" s="180"/>
    </row>
    <row r="5693" spans="3:3" s="181" customFormat="1" hidden="1" x14ac:dyDescent="0.2">
      <c r="C5693" s="180"/>
    </row>
    <row r="5694" spans="3:3" s="181" customFormat="1" hidden="1" x14ac:dyDescent="0.2">
      <c r="C5694" s="180"/>
    </row>
    <row r="5695" spans="3:3" s="181" customFormat="1" hidden="1" x14ac:dyDescent="0.2">
      <c r="C5695" s="180"/>
    </row>
    <row r="5696" spans="3:3" s="181" customFormat="1" hidden="1" x14ac:dyDescent="0.2">
      <c r="C5696" s="180"/>
    </row>
    <row r="5697" spans="3:3" s="181" customFormat="1" hidden="1" x14ac:dyDescent="0.2">
      <c r="C5697" s="180"/>
    </row>
    <row r="5698" spans="3:3" s="181" customFormat="1" hidden="1" x14ac:dyDescent="0.2">
      <c r="C5698" s="180"/>
    </row>
    <row r="5699" spans="3:3" s="181" customFormat="1" hidden="1" x14ac:dyDescent="0.2">
      <c r="C5699" s="180"/>
    </row>
    <row r="5700" spans="3:3" s="181" customFormat="1" hidden="1" x14ac:dyDescent="0.2">
      <c r="C5700" s="180"/>
    </row>
    <row r="5701" spans="3:3" s="181" customFormat="1" hidden="1" x14ac:dyDescent="0.2">
      <c r="C5701" s="180"/>
    </row>
    <row r="5702" spans="3:3" s="181" customFormat="1" hidden="1" x14ac:dyDescent="0.2">
      <c r="C5702" s="180"/>
    </row>
    <row r="5703" spans="3:3" s="181" customFormat="1" hidden="1" x14ac:dyDescent="0.2">
      <c r="C5703" s="180"/>
    </row>
    <row r="5704" spans="3:3" s="181" customFormat="1" hidden="1" x14ac:dyDescent="0.2">
      <c r="C5704" s="180"/>
    </row>
    <row r="5705" spans="3:3" s="181" customFormat="1" hidden="1" x14ac:dyDescent="0.2">
      <c r="C5705" s="180"/>
    </row>
    <row r="5706" spans="3:3" s="181" customFormat="1" hidden="1" x14ac:dyDescent="0.2">
      <c r="C5706" s="180"/>
    </row>
    <row r="5707" spans="3:3" s="181" customFormat="1" hidden="1" x14ac:dyDescent="0.2">
      <c r="C5707" s="180"/>
    </row>
    <row r="5708" spans="3:3" s="181" customFormat="1" hidden="1" x14ac:dyDescent="0.2">
      <c r="C5708" s="180"/>
    </row>
    <row r="5709" spans="3:3" s="181" customFormat="1" hidden="1" x14ac:dyDescent="0.2">
      <c r="C5709" s="180"/>
    </row>
    <row r="5710" spans="3:3" s="181" customFormat="1" hidden="1" x14ac:dyDescent="0.2">
      <c r="C5710" s="180"/>
    </row>
    <row r="5711" spans="3:3" s="181" customFormat="1" hidden="1" x14ac:dyDescent="0.2">
      <c r="C5711" s="180"/>
    </row>
    <row r="5712" spans="3:3" s="181" customFormat="1" hidden="1" x14ac:dyDescent="0.2">
      <c r="C5712" s="180"/>
    </row>
    <row r="5713" spans="3:3" s="181" customFormat="1" hidden="1" x14ac:dyDescent="0.2">
      <c r="C5713" s="180"/>
    </row>
    <row r="5714" spans="3:3" s="181" customFormat="1" hidden="1" x14ac:dyDescent="0.2">
      <c r="C5714" s="180"/>
    </row>
    <row r="5715" spans="3:3" s="181" customFormat="1" hidden="1" x14ac:dyDescent="0.2">
      <c r="C5715" s="180"/>
    </row>
    <row r="5716" spans="3:3" s="181" customFormat="1" hidden="1" x14ac:dyDescent="0.2">
      <c r="C5716" s="180"/>
    </row>
    <row r="5717" spans="3:3" s="181" customFormat="1" hidden="1" x14ac:dyDescent="0.2">
      <c r="C5717" s="180"/>
    </row>
    <row r="5718" spans="3:3" s="181" customFormat="1" hidden="1" x14ac:dyDescent="0.2">
      <c r="C5718" s="180"/>
    </row>
    <row r="5719" spans="3:3" s="181" customFormat="1" hidden="1" x14ac:dyDescent="0.2">
      <c r="C5719" s="180"/>
    </row>
    <row r="5720" spans="3:3" s="181" customFormat="1" hidden="1" x14ac:dyDescent="0.2">
      <c r="C5720" s="180"/>
    </row>
    <row r="5721" spans="3:3" s="181" customFormat="1" hidden="1" x14ac:dyDescent="0.2">
      <c r="C5721" s="180"/>
    </row>
    <row r="5722" spans="3:3" s="181" customFormat="1" hidden="1" x14ac:dyDescent="0.2">
      <c r="C5722" s="180"/>
    </row>
    <row r="5723" spans="3:3" s="181" customFormat="1" hidden="1" x14ac:dyDescent="0.2">
      <c r="C5723" s="180"/>
    </row>
    <row r="5724" spans="3:3" s="181" customFormat="1" hidden="1" x14ac:dyDescent="0.2">
      <c r="C5724" s="180"/>
    </row>
    <row r="5725" spans="3:3" s="181" customFormat="1" hidden="1" x14ac:dyDescent="0.2">
      <c r="C5725" s="180"/>
    </row>
    <row r="5726" spans="3:3" s="181" customFormat="1" hidden="1" x14ac:dyDescent="0.2">
      <c r="C5726" s="180"/>
    </row>
    <row r="5727" spans="3:3" s="181" customFormat="1" hidden="1" x14ac:dyDescent="0.2">
      <c r="C5727" s="180"/>
    </row>
    <row r="5728" spans="3:3" s="181" customFormat="1" hidden="1" x14ac:dyDescent="0.2">
      <c r="C5728" s="180"/>
    </row>
    <row r="5729" spans="3:3" s="181" customFormat="1" hidden="1" x14ac:dyDescent="0.2">
      <c r="C5729" s="180"/>
    </row>
    <row r="5730" spans="3:3" s="181" customFormat="1" hidden="1" x14ac:dyDescent="0.2">
      <c r="C5730" s="180"/>
    </row>
    <row r="5731" spans="3:3" s="181" customFormat="1" hidden="1" x14ac:dyDescent="0.2">
      <c r="C5731" s="180"/>
    </row>
    <row r="5732" spans="3:3" s="181" customFormat="1" hidden="1" x14ac:dyDescent="0.2">
      <c r="C5732" s="180"/>
    </row>
    <row r="5733" spans="3:3" s="181" customFormat="1" hidden="1" x14ac:dyDescent="0.2">
      <c r="C5733" s="180"/>
    </row>
    <row r="5734" spans="3:3" s="181" customFormat="1" hidden="1" x14ac:dyDescent="0.2">
      <c r="C5734" s="180"/>
    </row>
    <row r="5735" spans="3:3" s="181" customFormat="1" hidden="1" x14ac:dyDescent="0.2">
      <c r="C5735" s="180"/>
    </row>
    <row r="5736" spans="3:3" s="181" customFormat="1" hidden="1" x14ac:dyDescent="0.2">
      <c r="C5736" s="180"/>
    </row>
    <row r="5737" spans="3:3" s="181" customFormat="1" hidden="1" x14ac:dyDescent="0.2">
      <c r="C5737" s="180"/>
    </row>
    <row r="5738" spans="3:3" s="181" customFormat="1" hidden="1" x14ac:dyDescent="0.2">
      <c r="C5738" s="180"/>
    </row>
    <row r="5739" spans="3:3" s="181" customFormat="1" hidden="1" x14ac:dyDescent="0.2">
      <c r="C5739" s="180"/>
    </row>
    <row r="5740" spans="3:3" s="181" customFormat="1" hidden="1" x14ac:dyDescent="0.2">
      <c r="C5740" s="180"/>
    </row>
    <row r="5741" spans="3:3" s="181" customFormat="1" hidden="1" x14ac:dyDescent="0.2">
      <c r="C5741" s="180"/>
    </row>
    <row r="5742" spans="3:3" s="181" customFormat="1" hidden="1" x14ac:dyDescent="0.2">
      <c r="C5742" s="180"/>
    </row>
    <row r="5743" spans="3:3" s="181" customFormat="1" hidden="1" x14ac:dyDescent="0.2">
      <c r="C5743" s="180"/>
    </row>
    <row r="5744" spans="3:3" s="181" customFormat="1" hidden="1" x14ac:dyDescent="0.2">
      <c r="C5744" s="180"/>
    </row>
    <row r="5745" spans="3:3" s="181" customFormat="1" hidden="1" x14ac:dyDescent="0.2">
      <c r="C5745" s="180"/>
    </row>
    <row r="5746" spans="3:3" s="181" customFormat="1" hidden="1" x14ac:dyDescent="0.2">
      <c r="C5746" s="180"/>
    </row>
    <row r="5747" spans="3:3" s="181" customFormat="1" hidden="1" x14ac:dyDescent="0.2">
      <c r="C5747" s="180"/>
    </row>
    <row r="5748" spans="3:3" s="181" customFormat="1" hidden="1" x14ac:dyDescent="0.2">
      <c r="C5748" s="180"/>
    </row>
    <row r="5749" spans="3:3" s="181" customFormat="1" hidden="1" x14ac:dyDescent="0.2">
      <c r="C5749" s="180"/>
    </row>
    <row r="5750" spans="3:3" s="181" customFormat="1" hidden="1" x14ac:dyDescent="0.2">
      <c r="C5750" s="180"/>
    </row>
    <row r="5751" spans="3:3" s="181" customFormat="1" hidden="1" x14ac:dyDescent="0.2">
      <c r="C5751" s="180"/>
    </row>
    <row r="5752" spans="3:3" s="181" customFormat="1" hidden="1" x14ac:dyDescent="0.2">
      <c r="C5752" s="180"/>
    </row>
    <row r="5753" spans="3:3" s="181" customFormat="1" hidden="1" x14ac:dyDescent="0.2">
      <c r="C5753" s="180"/>
    </row>
    <row r="5754" spans="3:3" s="181" customFormat="1" hidden="1" x14ac:dyDescent="0.2">
      <c r="C5754" s="180"/>
    </row>
    <row r="5755" spans="3:3" s="181" customFormat="1" hidden="1" x14ac:dyDescent="0.2">
      <c r="C5755" s="180"/>
    </row>
    <row r="5756" spans="3:3" s="181" customFormat="1" hidden="1" x14ac:dyDescent="0.2">
      <c r="C5756" s="180"/>
    </row>
    <row r="5757" spans="3:3" s="181" customFormat="1" hidden="1" x14ac:dyDescent="0.2">
      <c r="C5757" s="180"/>
    </row>
    <row r="5758" spans="3:3" s="181" customFormat="1" hidden="1" x14ac:dyDescent="0.2">
      <c r="C5758" s="180"/>
    </row>
    <row r="5759" spans="3:3" s="181" customFormat="1" hidden="1" x14ac:dyDescent="0.2">
      <c r="C5759" s="180"/>
    </row>
    <row r="5760" spans="3:3" s="181" customFormat="1" hidden="1" x14ac:dyDescent="0.2">
      <c r="C5760" s="180"/>
    </row>
    <row r="5761" spans="3:3" s="181" customFormat="1" hidden="1" x14ac:dyDescent="0.2">
      <c r="C5761" s="180"/>
    </row>
    <row r="5762" spans="3:3" s="181" customFormat="1" hidden="1" x14ac:dyDescent="0.2">
      <c r="C5762" s="180"/>
    </row>
    <row r="5763" spans="3:3" s="181" customFormat="1" hidden="1" x14ac:dyDescent="0.2">
      <c r="C5763" s="180"/>
    </row>
    <row r="5764" spans="3:3" s="181" customFormat="1" hidden="1" x14ac:dyDescent="0.2">
      <c r="C5764" s="180"/>
    </row>
    <row r="5765" spans="3:3" s="181" customFormat="1" hidden="1" x14ac:dyDescent="0.2">
      <c r="C5765" s="180"/>
    </row>
    <row r="5766" spans="3:3" s="181" customFormat="1" hidden="1" x14ac:dyDescent="0.2">
      <c r="C5766" s="180"/>
    </row>
    <row r="5767" spans="3:3" s="181" customFormat="1" hidden="1" x14ac:dyDescent="0.2">
      <c r="C5767" s="180"/>
    </row>
    <row r="5768" spans="3:3" s="181" customFormat="1" hidden="1" x14ac:dyDescent="0.2">
      <c r="C5768" s="180"/>
    </row>
    <row r="5769" spans="3:3" s="181" customFormat="1" hidden="1" x14ac:dyDescent="0.2">
      <c r="C5769" s="180"/>
    </row>
    <row r="5770" spans="3:3" s="181" customFormat="1" hidden="1" x14ac:dyDescent="0.2">
      <c r="C5770" s="180"/>
    </row>
    <row r="5771" spans="3:3" s="181" customFormat="1" hidden="1" x14ac:dyDescent="0.2">
      <c r="C5771" s="180"/>
    </row>
    <row r="5772" spans="3:3" s="181" customFormat="1" hidden="1" x14ac:dyDescent="0.2">
      <c r="C5772" s="180"/>
    </row>
    <row r="5773" spans="3:3" s="181" customFormat="1" hidden="1" x14ac:dyDescent="0.2">
      <c r="C5773" s="180"/>
    </row>
    <row r="5774" spans="3:3" s="181" customFormat="1" hidden="1" x14ac:dyDescent="0.2">
      <c r="C5774" s="180"/>
    </row>
    <row r="5775" spans="3:3" s="181" customFormat="1" hidden="1" x14ac:dyDescent="0.2">
      <c r="C5775" s="180"/>
    </row>
    <row r="5776" spans="3:3" s="181" customFormat="1" hidden="1" x14ac:dyDescent="0.2">
      <c r="C5776" s="180"/>
    </row>
    <row r="5777" spans="3:3" s="181" customFormat="1" hidden="1" x14ac:dyDescent="0.2">
      <c r="C5777" s="180"/>
    </row>
    <row r="5778" spans="3:3" s="181" customFormat="1" hidden="1" x14ac:dyDescent="0.2">
      <c r="C5778" s="180"/>
    </row>
    <row r="5779" spans="3:3" s="181" customFormat="1" hidden="1" x14ac:dyDescent="0.2">
      <c r="C5779" s="180"/>
    </row>
    <row r="5780" spans="3:3" s="181" customFormat="1" hidden="1" x14ac:dyDescent="0.2">
      <c r="C5780" s="180"/>
    </row>
    <row r="5781" spans="3:3" s="181" customFormat="1" hidden="1" x14ac:dyDescent="0.2">
      <c r="C5781" s="180"/>
    </row>
    <row r="5782" spans="3:3" s="181" customFormat="1" hidden="1" x14ac:dyDescent="0.2">
      <c r="C5782" s="180"/>
    </row>
    <row r="5783" spans="3:3" s="181" customFormat="1" hidden="1" x14ac:dyDescent="0.2">
      <c r="C5783" s="180"/>
    </row>
    <row r="5784" spans="3:3" s="181" customFormat="1" hidden="1" x14ac:dyDescent="0.2">
      <c r="C5784" s="180"/>
    </row>
    <row r="5785" spans="3:3" s="181" customFormat="1" hidden="1" x14ac:dyDescent="0.2">
      <c r="C5785" s="180"/>
    </row>
    <row r="5786" spans="3:3" s="181" customFormat="1" hidden="1" x14ac:dyDescent="0.2">
      <c r="C5786" s="180"/>
    </row>
    <row r="5787" spans="3:3" s="181" customFormat="1" hidden="1" x14ac:dyDescent="0.2">
      <c r="C5787" s="180"/>
    </row>
    <row r="5788" spans="3:3" s="181" customFormat="1" hidden="1" x14ac:dyDescent="0.2">
      <c r="C5788" s="180"/>
    </row>
    <row r="5789" spans="3:3" s="181" customFormat="1" hidden="1" x14ac:dyDescent="0.2">
      <c r="C5789" s="180"/>
    </row>
    <row r="5790" spans="3:3" s="181" customFormat="1" hidden="1" x14ac:dyDescent="0.2">
      <c r="C5790" s="180"/>
    </row>
    <row r="5791" spans="3:3" s="181" customFormat="1" hidden="1" x14ac:dyDescent="0.2">
      <c r="C5791" s="180"/>
    </row>
    <row r="5792" spans="3:3" s="181" customFormat="1" hidden="1" x14ac:dyDescent="0.2">
      <c r="C5792" s="180"/>
    </row>
    <row r="5793" spans="3:3" s="181" customFormat="1" hidden="1" x14ac:dyDescent="0.2">
      <c r="C5793" s="180"/>
    </row>
    <row r="5794" spans="3:3" s="181" customFormat="1" hidden="1" x14ac:dyDescent="0.2">
      <c r="C5794" s="180"/>
    </row>
    <row r="5795" spans="3:3" s="181" customFormat="1" hidden="1" x14ac:dyDescent="0.2">
      <c r="C5795" s="180"/>
    </row>
    <row r="5796" spans="3:3" s="181" customFormat="1" hidden="1" x14ac:dyDescent="0.2">
      <c r="C5796" s="180"/>
    </row>
    <row r="5797" spans="3:3" s="181" customFormat="1" hidden="1" x14ac:dyDescent="0.2">
      <c r="C5797" s="180"/>
    </row>
    <row r="5798" spans="3:3" s="181" customFormat="1" hidden="1" x14ac:dyDescent="0.2">
      <c r="C5798" s="180"/>
    </row>
    <row r="5799" spans="3:3" s="181" customFormat="1" hidden="1" x14ac:dyDescent="0.2">
      <c r="C5799" s="180"/>
    </row>
    <row r="5800" spans="3:3" s="181" customFormat="1" hidden="1" x14ac:dyDescent="0.2">
      <c r="C5800" s="180"/>
    </row>
    <row r="5801" spans="3:3" s="181" customFormat="1" hidden="1" x14ac:dyDescent="0.2">
      <c r="C5801" s="180"/>
    </row>
    <row r="5802" spans="3:3" s="181" customFormat="1" hidden="1" x14ac:dyDescent="0.2">
      <c r="C5802" s="180"/>
    </row>
    <row r="5803" spans="3:3" s="181" customFormat="1" hidden="1" x14ac:dyDescent="0.2">
      <c r="C5803" s="180"/>
    </row>
    <row r="5804" spans="3:3" s="181" customFormat="1" hidden="1" x14ac:dyDescent="0.2">
      <c r="C5804" s="180"/>
    </row>
    <row r="5805" spans="3:3" s="181" customFormat="1" hidden="1" x14ac:dyDescent="0.2">
      <c r="C5805" s="180"/>
    </row>
    <row r="5806" spans="3:3" s="181" customFormat="1" hidden="1" x14ac:dyDescent="0.2">
      <c r="C5806" s="180"/>
    </row>
    <row r="5807" spans="3:3" s="181" customFormat="1" hidden="1" x14ac:dyDescent="0.2">
      <c r="C5807" s="180"/>
    </row>
    <row r="5808" spans="3:3" s="181" customFormat="1" hidden="1" x14ac:dyDescent="0.2">
      <c r="C5808" s="180"/>
    </row>
    <row r="5809" spans="3:3" s="181" customFormat="1" hidden="1" x14ac:dyDescent="0.2">
      <c r="C5809" s="180"/>
    </row>
    <row r="5810" spans="3:3" s="181" customFormat="1" hidden="1" x14ac:dyDescent="0.2">
      <c r="C5810" s="180"/>
    </row>
    <row r="5811" spans="3:3" s="181" customFormat="1" hidden="1" x14ac:dyDescent="0.2">
      <c r="C5811" s="180"/>
    </row>
    <row r="5812" spans="3:3" s="181" customFormat="1" hidden="1" x14ac:dyDescent="0.2">
      <c r="C5812" s="180"/>
    </row>
    <row r="5813" spans="3:3" s="181" customFormat="1" hidden="1" x14ac:dyDescent="0.2">
      <c r="C5813" s="180"/>
    </row>
    <row r="5814" spans="3:3" s="181" customFormat="1" hidden="1" x14ac:dyDescent="0.2">
      <c r="C5814" s="180"/>
    </row>
    <row r="5815" spans="3:3" s="181" customFormat="1" hidden="1" x14ac:dyDescent="0.2">
      <c r="C5815" s="180"/>
    </row>
    <row r="5816" spans="3:3" s="181" customFormat="1" hidden="1" x14ac:dyDescent="0.2">
      <c r="C5816" s="180"/>
    </row>
    <row r="5817" spans="3:3" s="181" customFormat="1" hidden="1" x14ac:dyDescent="0.2">
      <c r="C5817" s="180"/>
    </row>
    <row r="5818" spans="3:3" s="181" customFormat="1" hidden="1" x14ac:dyDescent="0.2">
      <c r="C5818" s="180"/>
    </row>
    <row r="5819" spans="3:3" s="181" customFormat="1" hidden="1" x14ac:dyDescent="0.2">
      <c r="C5819" s="180"/>
    </row>
    <row r="5820" spans="3:3" s="181" customFormat="1" hidden="1" x14ac:dyDescent="0.2">
      <c r="C5820" s="180"/>
    </row>
    <row r="5821" spans="3:3" s="181" customFormat="1" hidden="1" x14ac:dyDescent="0.2">
      <c r="C5821" s="180"/>
    </row>
    <row r="5822" spans="3:3" s="181" customFormat="1" hidden="1" x14ac:dyDescent="0.2">
      <c r="C5822" s="180"/>
    </row>
    <row r="5823" spans="3:3" s="181" customFormat="1" hidden="1" x14ac:dyDescent="0.2">
      <c r="C5823" s="180"/>
    </row>
    <row r="5824" spans="3:3" s="181" customFormat="1" hidden="1" x14ac:dyDescent="0.2">
      <c r="C5824" s="180"/>
    </row>
    <row r="5825" spans="3:3" s="181" customFormat="1" hidden="1" x14ac:dyDescent="0.2">
      <c r="C5825" s="180"/>
    </row>
    <row r="5826" spans="3:3" s="181" customFormat="1" hidden="1" x14ac:dyDescent="0.2">
      <c r="C5826" s="180"/>
    </row>
    <row r="5827" spans="3:3" s="181" customFormat="1" hidden="1" x14ac:dyDescent="0.2">
      <c r="C5827" s="180"/>
    </row>
    <row r="5828" spans="3:3" s="181" customFormat="1" hidden="1" x14ac:dyDescent="0.2">
      <c r="C5828" s="180"/>
    </row>
    <row r="5829" spans="3:3" s="181" customFormat="1" hidden="1" x14ac:dyDescent="0.2">
      <c r="C5829" s="180"/>
    </row>
    <row r="5830" spans="3:3" s="181" customFormat="1" hidden="1" x14ac:dyDescent="0.2">
      <c r="C5830" s="180"/>
    </row>
    <row r="5831" spans="3:3" s="181" customFormat="1" hidden="1" x14ac:dyDescent="0.2">
      <c r="C5831" s="180"/>
    </row>
    <row r="5832" spans="3:3" s="181" customFormat="1" hidden="1" x14ac:dyDescent="0.2">
      <c r="C5832" s="180"/>
    </row>
    <row r="5833" spans="3:3" s="181" customFormat="1" hidden="1" x14ac:dyDescent="0.2">
      <c r="C5833" s="180"/>
    </row>
    <row r="5834" spans="3:3" s="181" customFormat="1" hidden="1" x14ac:dyDescent="0.2">
      <c r="C5834" s="180"/>
    </row>
    <row r="5835" spans="3:3" s="181" customFormat="1" hidden="1" x14ac:dyDescent="0.2">
      <c r="C5835" s="180"/>
    </row>
    <row r="5836" spans="3:3" s="181" customFormat="1" hidden="1" x14ac:dyDescent="0.2">
      <c r="C5836" s="180"/>
    </row>
    <row r="5837" spans="3:3" s="181" customFormat="1" hidden="1" x14ac:dyDescent="0.2">
      <c r="C5837" s="180"/>
    </row>
    <row r="5838" spans="3:3" s="181" customFormat="1" hidden="1" x14ac:dyDescent="0.2">
      <c r="C5838" s="180"/>
    </row>
    <row r="5839" spans="3:3" s="181" customFormat="1" hidden="1" x14ac:dyDescent="0.2">
      <c r="C5839" s="180"/>
    </row>
    <row r="5840" spans="3:3" s="181" customFormat="1" hidden="1" x14ac:dyDescent="0.2">
      <c r="C5840" s="180"/>
    </row>
    <row r="5841" spans="3:3" s="181" customFormat="1" hidden="1" x14ac:dyDescent="0.2">
      <c r="C5841" s="180"/>
    </row>
    <row r="5842" spans="3:3" s="181" customFormat="1" hidden="1" x14ac:dyDescent="0.2">
      <c r="C5842" s="180"/>
    </row>
    <row r="5843" spans="3:3" s="181" customFormat="1" hidden="1" x14ac:dyDescent="0.2">
      <c r="C5843" s="180"/>
    </row>
    <row r="5844" spans="3:3" s="181" customFormat="1" hidden="1" x14ac:dyDescent="0.2">
      <c r="C5844" s="180"/>
    </row>
    <row r="5845" spans="3:3" s="181" customFormat="1" hidden="1" x14ac:dyDescent="0.2">
      <c r="C5845" s="180"/>
    </row>
    <row r="5846" spans="3:3" s="181" customFormat="1" hidden="1" x14ac:dyDescent="0.2">
      <c r="C5846" s="180"/>
    </row>
    <row r="5847" spans="3:3" s="181" customFormat="1" hidden="1" x14ac:dyDescent="0.2">
      <c r="C5847" s="180"/>
    </row>
    <row r="5848" spans="3:3" s="181" customFormat="1" hidden="1" x14ac:dyDescent="0.2">
      <c r="C5848" s="180"/>
    </row>
    <row r="5849" spans="3:3" s="181" customFormat="1" hidden="1" x14ac:dyDescent="0.2">
      <c r="C5849" s="180"/>
    </row>
    <row r="5850" spans="3:3" s="181" customFormat="1" hidden="1" x14ac:dyDescent="0.2">
      <c r="C5850" s="180"/>
    </row>
    <row r="5851" spans="3:3" s="181" customFormat="1" hidden="1" x14ac:dyDescent="0.2">
      <c r="C5851" s="180"/>
    </row>
    <row r="5852" spans="3:3" s="181" customFormat="1" hidden="1" x14ac:dyDescent="0.2">
      <c r="C5852" s="180"/>
    </row>
    <row r="5853" spans="3:3" s="181" customFormat="1" hidden="1" x14ac:dyDescent="0.2">
      <c r="C5853" s="180"/>
    </row>
    <row r="5854" spans="3:3" s="181" customFormat="1" hidden="1" x14ac:dyDescent="0.2">
      <c r="C5854" s="180"/>
    </row>
    <row r="5855" spans="3:3" s="181" customFormat="1" hidden="1" x14ac:dyDescent="0.2">
      <c r="C5855" s="180"/>
    </row>
    <row r="5856" spans="3:3" s="181" customFormat="1" hidden="1" x14ac:dyDescent="0.2">
      <c r="C5856" s="180"/>
    </row>
    <row r="5857" spans="3:3" s="181" customFormat="1" hidden="1" x14ac:dyDescent="0.2">
      <c r="C5857" s="180"/>
    </row>
    <row r="5858" spans="3:3" s="181" customFormat="1" hidden="1" x14ac:dyDescent="0.2">
      <c r="C5858" s="180"/>
    </row>
    <row r="5859" spans="3:3" s="181" customFormat="1" hidden="1" x14ac:dyDescent="0.2">
      <c r="C5859" s="180"/>
    </row>
    <row r="5860" spans="3:3" s="181" customFormat="1" hidden="1" x14ac:dyDescent="0.2">
      <c r="C5860" s="180"/>
    </row>
    <row r="5861" spans="3:3" s="181" customFormat="1" hidden="1" x14ac:dyDescent="0.2">
      <c r="C5861" s="180"/>
    </row>
    <row r="5862" spans="3:3" s="181" customFormat="1" hidden="1" x14ac:dyDescent="0.2">
      <c r="C5862" s="180"/>
    </row>
    <row r="5863" spans="3:3" s="181" customFormat="1" hidden="1" x14ac:dyDescent="0.2">
      <c r="C5863" s="180"/>
    </row>
    <row r="5864" spans="3:3" s="181" customFormat="1" hidden="1" x14ac:dyDescent="0.2">
      <c r="C5864" s="180"/>
    </row>
    <row r="5865" spans="3:3" s="181" customFormat="1" hidden="1" x14ac:dyDescent="0.2">
      <c r="C5865" s="180"/>
    </row>
    <row r="5866" spans="3:3" s="181" customFormat="1" hidden="1" x14ac:dyDescent="0.2">
      <c r="C5866" s="180"/>
    </row>
    <row r="5867" spans="3:3" s="181" customFormat="1" hidden="1" x14ac:dyDescent="0.2">
      <c r="C5867" s="180"/>
    </row>
    <row r="5868" spans="3:3" s="181" customFormat="1" hidden="1" x14ac:dyDescent="0.2">
      <c r="C5868" s="180"/>
    </row>
    <row r="5869" spans="3:3" s="181" customFormat="1" hidden="1" x14ac:dyDescent="0.2">
      <c r="C5869" s="180"/>
    </row>
    <row r="5870" spans="3:3" s="181" customFormat="1" hidden="1" x14ac:dyDescent="0.2">
      <c r="C5870" s="180"/>
    </row>
    <row r="5871" spans="3:3" s="181" customFormat="1" hidden="1" x14ac:dyDescent="0.2">
      <c r="C5871" s="180"/>
    </row>
    <row r="5872" spans="3:3" s="181" customFormat="1" hidden="1" x14ac:dyDescent="0.2">
      <c r="C5872" s="180"/>
    </row>
    <row r="5873" spans="3:3" s="181" customFormat="1" hidden="1" x14ac:dyDescent="0.2">
      <c r="C5873" s="180"/>
    </row>
    <row r="5874" spans="3:3" s="181" customFormat="1" hidden="1" x14ac:dyDescent="0.2">
      <c r="C5874" s="180"/>
    </row>
    <row r="5875" spans="3:3" s="181" customFormat="1" hidden="1" x14ac:dyDescent="0.2">
      <c r="C5875" s="180"/>
    </row>
    <row r="5876" spans="3:3" s="181" customFormat="1" hidden="1" x14ac:dyDescent="0.2">
      <c r="C5876" s="180"/>
    </row>
    <row r="5877" spans="3:3" s="181" customFormat="1" hidden="1" x14ac:dyDescent="0.2">
      <c r="C5877" s="180"/>
    </row>
    <row r="5878" spans="3:3" s="181" customFormat="1" hidden="1" x14ac:dyDescent="0.2">
      <c r="C5878" s="180"/>
    </row>
    <row r="5879" spans="3:3" s="181" customFormat="1" hidden="1" x14ac:dyDescent="0.2">
      <c r="C5879" s="180"/>
    </row>
    <row r="5880" spans="3:3" s="181" customFormat="1" hidden="1" x14ac:dyDescent="0.2">
      <c r="C5880" s="180"/>
    </row>
    <row r="5881" spans="3:3" s="181" customFormat="1" hidden="1" x14ac:dyDescent="0.2">
      <c r="C5881" s="180"/>
    </row>
    <row r="5882" spans="3:3" s="181" customFormat="1" hidden="1" x14ac:dyDescent="0.2">
      <c r="C5882" s="180"/>
    </row>
    <row r="5883" spans="3:3" s="181" customFormat="1" hidden="1" x14ac:dyDescent="0.2">
      <c r="C5883" s="180"/>
    </row>
    <row r="5884" spans="3:3" s="181" customFormat="1" hidden="1" x14ac:dyDescent="0.2">
      <c r="C5884" s="180"/>
    </row>
    <row r="5885" spans="3:3" s="181" customFormat="1" hidden="1" x14ac:dyDescent="0.2">
      <c r="C5885" s="180"/>
    </row>
    <row r="5886" spans="3:3" s="181" customFormat="1" hidden="1" x14ac:dyDescent="0.2">
      <c r="C5886" s="180"/>
    </row>
    <row r="5887" spans="3:3" s="181" customFormat="1" hidden="1" x14ac:dyDescent="0.2">
      <c r="C5887" s="180"/>
    </row>
    <row r="5888" spans="3:3" s="181" customFormat="1" hidden="1" x14ac:dyDescent="0.2">
      <c r="C5888" s="180"/>
    </row>
    <row r="5889" spans="3:3" s="181" customFormat="1" hidden="1" x14ac:dyDescent="0.2">
      <c r="C5889" s="180"/>
    </row>
    <row r="5890" spans="3:3" s="181" customFormat="1" hidden="1" x14ac:dyDescent="0.2">
      <c r="C5890" s="180"/>
    </row>
    <row r="5891" spans="3:3" s="181" customFormat="1" hidden="1" x14ac:dyDescent="0.2">
      <c r="C5891" s="180"/>
    </row>
    <row r="5892" spans="3:3" s="181" customFormat="1" hidden="1" x14ac:dyDescent="0.2">
      <c r="C5892" s="180"/>
    </row>
    <row r="5893" spans="3:3" s="181" customFormat="1" hidden="1" x14ac:dyDescent="0.2">
      <c r="C5893" s="180"/>
    </row>
    <row r="5894" spans="3:3" s="181" customFormat="1" hidden="1" x14ac:dyDescent="0.2">
      <c r="C5894" s="180"/>
    </row>
    <row r="5895" spans="3:3" s="181" customFormat="1" hidden="1" x14ac:dyDescent="0.2">
      <c r="C5895" s="180"/>
    </row>
    <row r="5896" spans="3:3" s="181" customFormat="1" hidden="1" x14ac:dyDescent="0.2">
      <c r="C5896" s="180"/>
    </row>
    <row r="5897" spans="3:3" s="181" customFormat="1" hidden="1" x14ac:dyDescent="0.2">
      <c r="C5897" s="180"/>
    </row>
    <row r="5898" spans="3:3" s="181" customFormat="1" hidden="1" x14ac:dyDescent="0.2">
      <c r="C5898" s="180"/>
    </row>
    <row r="5899" spans="3:3" s="181" customFormat="1" hidden="1" x14ac:dyDescent="0.2">
      <c r="C5899" s="180"/>
    </row>
    <row r="5900" spans="3:3" s="181" customFormat="1" hidden="1" x14ac:dyDescent="0.2">
      <c r="C5900" s="180"/>
    </row>
    <row r="5901" spans="3:3" s="181" customFormat="1" hidden="1" x14ac:dyDescent="0.2">
      <c r="C5901" s="180"/>
    </row>
    <row r="5902" spans="3:3" s="181" customFormat="1" hidden="1" x14ac:dyDescent="0.2">
      <c r="C5902" s="180"/>
    </row>
    <row r="5903" spans="3:3" s="181" customFormat="1" hidden="1" x14ac:dyDescent="0.2">
      <c r="C5903" s="180"/>
    </row>
    <row r="5904" spans="3:3" s="181" customFormat="1" hidden="1" x14ac:dyDescent="0.2">
      <c r="C5904" s="180"/>
    </row>
    <row r="5905" spans="3:3" s="181" customFormat="1" hidden="1" x14ac:dyDescent="0.2">
      <c r="C5905" s="180"/>
    </row>
    <row r="5906" spans="3:3" s="181" customFormat="1" hidden="1" x14ac:dyDescent="0.2">
      <c r="C5906" s="180"/>
    </row>
    <row r="5907" spans="3:3" s="181" customFormat="1" hidden="1" x14ac:dyDescent="0.2">
      <c r="C5907" s="180"/>
    </row>
    <row r="5908" spans="3:3" s="181" customFormat="1" hidden="1" x14ac:dyDescent="0.2">
      <c r="C5908" s="180"/>
    </row>
    <row r="5909" spans="3:3" s="181" customFormat="1" hidden="1" x14ac:dyDescent="0.2">
      <c r="C5909" s="180"/>
    </row>
    <row r="5910" spans="3:3" s="181" customFormat="1" hidden="1" x14ac:dyDescent="0.2">
      <c r="C5910" s="180"/>
    </row>
    <row r="5911" spans="3:3" s="181" customFormat="1" hidden="1" x14ac:dyDescent="0.2">
      <c r="C5911" s="180"/>
    </row>
    <row r="5912" spans="3:3" s="181" customFormat="1" hidden="1" x14ac:dyDescent="0.2">
      <c r="C5912" s="180"/>
    </row>
    <row r="5913" spans="3:3" s="181" customFormat="1" hidden="1" x14ac:dyDescent="0.2">
      <c r="C5913" s="180"/>
    </row>
    <row r="5914" spans="3:3" s="181" customFormat="1" hidden="1" x14ac:dyDescent="0.2">
      <c r="C5914" s="180"/>
    </row>
    <row r="5915" spans="3:3" s="181" customFormat="1" hidden="1" x14ac:dyDescent="0.2">
      <c r="C5915" s="180"/>
    </row>
    <row r="5916" spans="3:3" s="181" customFormat="1" hidden="1" x14ac:dyDescent="0.2">
      <c r="C5916" s="180"/>
    </row>
    <row r="5917" spans="3:3" s="181" customFormat="1" hidden="1" x14ac:dyDescent="0.2">
      <c r="C5917" s="180"/>
    </row>
    <row r="5918" spans="3:3" s="181" customFormat="1" hidden="1" x14ac:dyDescent="0.2">
      <c r="C5918" s="180"/>
    </row>
    <row r="5919" spans="3:3" s="181" customFormat="1" hidden="1" x14ac:dyDescent="0.2">
      <c r="C5919" s="180"/>
    </row>
    <row r="5920" spans="3:3" s="181" customFormat="1" hidden="1" x14ac:dyDescent="0.2">
      <c r="C5920" s="180"/>
    </row>
    <row r="5921" spans="3:3" s="181" customFormat="1" hidden="1" x14ac:dyDescent="0.2">
      <c r="C5921" s="180"/>
    </row>
    <row r="5922" spans="3:3" s="181" customFormat="1" hidden="1" x14ac:dyDescent="0.2">
      <c r="C5922" s="180"/>
    </row>
    <row r="5923" spans="3:3" s="181" customFormat="1" hidden="1" x14ac:dyDescent="0.2">
      <c r="C5923" s="180"/>
    </row>
    <row r="5924" spans="3:3" s="181" customFormat="1" hidden="1" x14ac:dyDescent="0.2">
      <c r="C5924" s="180"/>
    </row>
    <row r="5925" spans="3:3" s="181" customFormat="1" hidden="1" x14ac:dyDescent="0.2">
      <c r="C5925" s="180"/>
    </row>
    <row r="5926" spans="3:3" s="181" customFormat="1" hidden="1" x14ac:dyDescent="0.2">
      <c r="C5926" s="180"/>
    </row>
    <row r="5927" spans="3:3" s="181" customFormat="1" hidden="1" x14ac:dyDescent="0.2">
      <c r="C5927" s="180"/>
    </row>
    <row r="5928" spans="3:3" s="181" customFormat="1" hidden="1" x14ac:dyDescent="0.2">
      <c r="C5928" s="180"/>
    </row>
    <row r="5929" spans="3:3" s="181" customFormat="1" hidden="1" x14ac:dyDescent="0.2">
      <c r="C5929" s="180"/>
    </row>
    <row r="5930" spans="3:3" s="181" customFormat="1" hidden="1" x14ac:dyDescent="0.2">
      <c r="C5930" s="180"/>
    </row>
    <row r="5931" spans="3:3" s="181" customFormat="1" hidden="1" x14ac:dyDescent="0.2">
      <c r="C5931" s="180"/>
    </row>
    <row r="5932" spans="3:3" s="181" customFormat="1" hidden="1" x14ac:dyDescent="0.2">
      <c r="C5932" s="180"/>
    </row>
    <row r="5933" spans="3:3" s="181" customFormat="1" hidden="1" x14ac:dyDescent="0.2">
      <c r="C5933" s="180"/>
    </row>
    <row r="5934" spans="3:3" s="181" customFormat="1" hidden="1" x14ac:dyDescent="0.2">
      <c r="C5934" s="180"/>
    </row>
    <row r="5935" spans="3:3" s="181" customFormat="1" hidden="1" x14ac:dyDescent="0.2">
      <c r="C5935" s="180"/>
    </row>
    <row r="5936" spans="3:3" s="181" customFormat="1" hidden="1" x14ac:dyDescent="0.2">
      <c r="C5936" s="180"/>
    </row>
    <row r="5937" spans="3:3" s="181" customFormat="1" hidden="1" x14ac:dyDescent="0.2">
      <c r="C5937" s="180"/>
    </row>
    <row r="5938" spans="3:3" s="181" customFormat="1" hidden="1" x14ac:dyDescent="0.2">
      <c r="C5938" s="180"/>
    </row>
    <row r="5939" spans="3:3" s="181" customFormat="1" hidden="1" x14ac:dyDescent="0.2">
      <c r="C5939" s="180"/>
    </row>
    <row r="5940" spans="3:3" s="181" customFormat="1" hidden="1" x14ac:dyDescent="0.2">
      <c r="C5940" s="180"/>
    </row>
    <row r="5941" spans="3:3" s="181" customFormat="1" hidden="1" x14ac:dyDescent="0.2">
      <c r="C5941" s="180"/>
    </row>
    <row r="5942" spans="3:3" s="181" customFormat="1" hidden="1" x14ac:dyDescent="0.2">
      <c r="C5942" s="180"/>
    </row>
    <row r="5943" spans="3:3" s="181" customFormat="1" hidden="1" x14ac:dyDescent="0.2">
      <c r="C5943" s="180"/>
    </row>
    <row r="5944" spans="3:3" s="181" customFormat="1" hidden="1" x14ac:dyDescent="0.2">
      <c r="C5944" s="180"/>
    </row>
    <row r="5945" spans="3:3" s="181" customFormat="1" hidden="1" x14ac:dyDescent="0.2">
      <c r="C5945" s="180"/>
    </row>
    <row r="5946" spans="3:3" s="181" customFormat="1" hidden="1" x14ac:dyDescent="0.2">
      <c r="C5946" s="180"/>
    </row>
    <row r="5947" spans="3:3" s="181" customFormat="1" hidden="1" x14ac:dyDescent="0.2">
      <c r="C5947" s="180"/>
    </row>
    <row r="5948" spans="3:3" s="181" customFormat="1" hidden="1" x14ac:dyDescent="0.2">
      <c r="C5948" s="180"/>
    </row>
    <row r="5949" spans="3:3" s="181" customFormat="1" hidden="1" x14ac:dyDescent="0.2">
      <c r="C5949" s="180"/>
    </row>
    <row r="5950" spans="3:3" s="181" customFormat="1" hidden="1" x14ac:dyDescent="0.2">
      <c r="C5950" s="180"/>
    </row>
    <row r="5951" spans="3:3" s="181" customFormat="1" hidden="1" x14ac:dyDescent="0.2">
      <c r="C5951" s="180"/>
    </row>
    <row r="5952" spans="3:3" s="181" customFormat="1" hidden="1" x14ac:dyDescent="0.2">
      <c r="C5952" s="180"/>
    </row>
    <row r="5953" spans="3:3" s="181" customFormat="1" hidden="1" x14ac:dyDescent="0.2">
      <c r="C5953" s="180"/>
    </row>
    <row r="5954" spans="3:3" s="181" customFormat="1" hidden="1" x14ac:dyDescent="0.2">
      <c r="C5954" s="180"/>
    </row>
    <row r="5955" spans="3:3" s="181" customFormat="1" hidden="1" x14ac:dyDescent="0.2">
      <c r="C5955" s="180"/>
    </row>
    <row r="5956" spans="3:3" s="181" customFormat="1" hidden="1" x14ac:dyDescent="0.2">
      <c r="C5956" s="180"/>
    </row>
    <row r="5957" spans="3:3" s="181" customFormat="1" hidden="1" x14ac:dyDescent="0.2">
      <c r="C5957" s="180"/>
    </row>
    <row r="5958" spans="3:3" s="181" customFormat="1" hidden="1" x14ac:dyDescent="0.2">
      <c r="C5958" s="180"/>
    </row>
    <row r="5959" spans="3:3" s="181" customFormat="1" hidden="1" x14ac:dyDescent="0.2">
      <c r="C5959" s="180"/>
    </row>
    <row r="5960" spans="3:3" s="181" customFormat="1" hidden="1" x14ac:dyDescent="0.2">
      <c r="C5960" s="180"/>
    </row>
    <row r="5961" spans="3:3" s="181" customFormat="1" hidden="1" x14ac:dyDescent="0.2">
      <c r="C5961" s="180"/>
    </row>
    <row r="5962" spans="3:3" s="181" customFormat="1" hidden="1" x14ac:dyDescent="0.2">
      <c r="C5962" s="180"/>
    </row>
    <row r="5963" spans="3:3" s="181" customFormat="1" hidden="1" x14ac:dyDescent="0.2">
      <c r="C5963" s="180"/>
    </row>
    <row r="5964" spans="3:3" s="181" customFormat="1" hidden="1" x14ac:dyDescent="0.2">
      <c r="C5964" s="180"/>
    </row>
    <row r="5965" spans="3:3" s="181" customFormat="1" hidden="1" x14ac:dyDescent="0.2">
      <c r="C5965" s="180"/>
    </row>
    <row r="5966" spans="3:3" s="181" customFormat="1" hidden="1" x14ac:dyDescent="0.2">
      <c r="C5966" s="180"/>
    </row>
    <row r="5967" spans="3:3" s="181" customFormat="1" hidden="1" x14ac:dyDescent="0.2">
      <c r="C5967" s="180"/>
    </row>
    <row r="5968" spans="3:3" s="181" customFormat="1" hidden="1" x14ac:dyDescent="0.2">
      <c r="C5968" s="180"/>
    </row>
    <row r="5969" spans="3:3" s="181" customFormat="1" hidden="1" x14ac:dyDescent="0.2">
      <c r="C5969" s="180"/>
    </row>
    <row r="5970" spans="3:3" s="181" customFormat="1" hidden="1" x14ac:dyDescent="0.2">
      <c r="C5970" s="180"/>
    </row>
    <row r="5971" spans="3:3" s="181" customFormat="1" hidden="1" x14ac:dyDescent="0.2">
      <c r="C5971" s="180"/>
    </row>
    <row r="5972" spans="3:3" s="181" customFormat="1" hidden="1" x14ac:dyDescent="0.2">
      <c r="C5972" s="180"/>
    </row>
    <row r="5973" spans="3:3" s="181" customFormat="1" hidden="1" x14ac:dyDescent="0.2">
      <c r="C5973" s="180"/>
    </row>
    <row r="5974" spans="3:3" s="181" customFormat="1" hidden="1" x14ac:dyDescent="0.2">
      <c r="C5974" s="180"/>
    </row>
    <row r="5975" spans="3:3" s="181" customFormat="1" hidden="1" x14ac:dyDescent="0.2">
      <c r="C5975" s="180"/>
    </row>
    <row r="5976" spans="3:3" s="181" customFormat="1" hidden="1" x14ac:dyDescent="0.2">
      <c r="C5976" s="180"/>
    </row>
    <row r="5977" spans="3:3" s="181" customFormat="1" hidden="1" x14ac:dyDescent="0.2">
      <c r="C5977" s="180"/>
    </row>
    <row r="5978" spans="3:3" s="181" customFormat="1" hidden="1" x14ac:dyDescent="0.2">
      <c r="C5978" s="180"/>
    </row>
    <row r="5979" spans="3:3" s="181" customFormat="1" hidden="1" x14ac:dyDescent="0.2">
      <c r="C5979" s="180"/>
    </row>
    <row r="5980" spans="3:3" s="181" customFormat="1" hidden="1" x14ac:dyDescent="0.2">
      <c r="C5980" s="180"/>
    </row>
    <row r="5981" spans="3:3" s="181" customFormat="1" hidden="1" x14ac:dyDescent="0.2">
      <c r="C5981" s="180"/>
    </row>
    <row r="5982" spans="3:3" s="181" customFormat="1" hidden="1" x14ac:dyDescent="0.2">
      <c r="C5982" s="180"/>
    </row>
    <row r="5983" spans="3:3" s="181" customFormat="1" hidden="1" x14ac:dyDescent="0.2">
      <c r="C5983" s="180"/>
    </row>
    <row r="5984" spans="3:3" s="181" customFormat="1" hidden="1" x14ac:dyDescent="0.2">
      <c r="C5984" s="180"/>
    </row>
    <row r="5985" spans="3:3" s="181" customFormat="1" hidden="1" x14ac:dyDescent="0.2">
      <c r="C5985" s="180"/>
    </row>
    <row r="5986" spans="3:3" s="181" customFormat="1" hidden="1" x14ac:dyDescent="0.2">
      <c r="C5986" s="180"/>
    </row>
    <row r="5987" spans="3:3" s="181" customFormat="1" hidden="1" x14ac:dyDescent="0.2">
      <c r="C5987" s="180"/>
    </row>
    <row r="5988" spans="3:3" s="181" customFormat="1" hidden="1" x14ac:dyDescent="0.2">
      <c r="C5988" s="180"/>
    </row>
    <row r="5989" spans="3:3" s="181" customFormat="1" hidden="1" x14ac:dyDescent="0.2">
      <c r="C5989" s="180"/>
    </row>
    <row r="5990" spans="3:3" s="181" customFormat="1" hidden="1" x14ac:dyDescent="0.2">
      <c r="C5990" s="180"/>
    </row>
    <row r="5991" spans="3:3" s="181" customFormat="1" hidden="1" x14ac:dyDescent="0.2">
      <c r="C5991" s="180"/>
    </row>
    <row r="5992" spans="3:3" s="181" customFormat="1" hidden="1" x14ac:dyDescent="0.2">
      <c r="C5992" s="180"/>
    </row>
    <row r="5993" spans="3:3" s="181" customFormat="1" hidden="1" x14ac:dyDescent="0.2">
      <c r="C5993" s="180"/>
    </row>
    <row r="5994" spans="3:3" s="181" customFormat="1" hidden="1" x14ac:dyDescent="0.2">
      <c r="C5994" s="180"/>
    </row>
    <row r="5995" spans="3:3" s="181" customFormat="1" hidden="1" x14ac:dyDescent="0.2">
      <c r="C5995" s="180"/>
    </row>
    <row r="5996" spans="3:3" s="181" customFormat="1" hidden="1" x14ac:dyDescent="0.2">
      <c r="C5996" s="180"/>
    </row>
    <row r="5997" spans="3:3" s="181" customFormat="1" hidden="1" x14ac:dyDescent="0.2">
      <c r="C5997" s="180"/>
    </row>
    <row r="5998" spans="3:3" s="181" customFormat="1" hidden="1" x14ac:dyDescent="0.2">
      <c r="C5998" s="180"/>
    </row>
    <row r="5999" spans="3:3" s="181" customFormat="1" hidden="1" x14ac:dyDescent="0.2">
      <c r="C5999" s="180"/>
    </row>
    <row r="6000" spans="3:3" s="181" customFormat="1" hidden="1" x14ac:dyDescent="0.2">
      <c r="C6000" s="180"/>
    </row>
    <row r="6001" spans="3:3" s="181" customFormat="1" hidden="1" x14ac:dyDescent="0.2">
      <c r="C6001" s="180"/>
    </row>
    <row r="6002" spans="3:3" s="181" customFormat="1" hidden="1" x14ac:dyDescent="0.2">
      <c r="C6002" s="180"/>
    </row>
    <row r="6003" spans="3:3" s="181" customFormat="1" hidden="1" x14ac:dyDescent="0.2">
      <c r="C6003" s="180"/>
    </row>
    <row r="6004" spans="3:3" s="181" customFormat="1" hidden="1" x14ac:dyDescent="0.2">
      <c r="C6004" s="180"/>
    </row>
    <row r="6005" spans="3:3" s="181" customFormat="1" hidden="1" x14ac:dyDescent="0.2">
      <c r="C6005" s="180"/>
    </row>
    <row r="6006" spans="3:3" s="181" customFormat="1" hidden="1" x14ac:dyDescent="0.2">
      <c r="C6006" s="180"/>
    </row>
    <row r="6007" spans="3:3" s="181" customFormat="1" hidden="1" x14ac:dyDescent="0.2">
      <c r="C6007" s="180"/>
    </row>
    <row r="6008" spans="3:3" s="181" customFormat="1" hidden="1" x14ac:dyDescent="0.2">
      <c r="C6008" s="180"/>
    </row>
    <row r="6009" spans="3:3" s="181" customFormat="1" hidden="1" x14ac:dyDescent="0.2">
      <c r="C6009" s="180"/>
    </row>
    <row r="6010" spans="3:3" s="181" customFormat="1" hidden="1" x14ac:dyDescent="0.2">
      <c r="C6010" s="180"/>
    </row>
    <row r="6011" spans="3:3" s="181" customFormat="1" hidden="1" x14ac:dyDescent="0.2">
      <c r="C6011" s="180"/>
    </row>
    <row r="6012" spans="3:3" s="181" customFormat="1" hidden="1" x14ac:dyDescent="0.2">
      <c r="C6012" s="180"/>
    </row>
    <row r="6013" spans="3:3" s="181" customFormat="1" hidden="1" x14ac:dyDescent="0.2">
      <c r="C6013" s="180"/>
    </row>
    <row r="6014" spans="3:3" s="181" customFormat="1" hidden="1" x14ac:dyDescent="0.2">
      <c r="C6014" s="180"/>
    </row>
    <row r="6015" spans="3:3" s="181" customFormat="1" hidden="1" x14ac:dyDescent="0.2">
      <c r="C6015" s="180"/>
    </row>
    <row r="6016" spans="3:3" s="181" customFormat="1" hidden="1" x14ac:dyDescent="0.2">
      <c r="C6016" s="180"/>
    </row>
    <row r="6017" spans="3:3" s="181" customFormat="1" hidden="1" x14ac:dyDescent="0.2">
      <c r="C6017" s="180"/>
    </row>
    <row r="6018" spans="3:3" s="181" customFormat="1" hidden="1" x14ac:dyDescent="0.2">
      <c r="C6018" s="180"/>
    </row>
    <row r="6019" spans="3:3" s="181" customFormat="1" hidden="1" x14ac:dyDescent="0.2">
      <c r="C6019" s="180"/>
    </row>
    <row r="6020" spans="3:3" s="181" customFormat="1" hidden="1" x14ac:dyDescent="0.2">
      <c r="C6020" s="180"/>
    </row>
    <row r="6021" spans="3:3" s="181" customFormat="1" hidden="1" x14ac:dyDescent="0.2">
      <c r="C6021" s="180"/>
    </row>
    <row r="6022" spans="3:3" s="181" customFormat="1" hidden="1" x14ac:dyDescent="0.2">
      <c r="C6022" s="180"/>
    </row>
    <row r="6023" spans="3:3" s="181" customFormat="1" hidden="1" x14ac:dyDescent="0.2">
      <c r="C6023" s="180"/>
    </row>
    <row r="6024" spans="3:3" s="181" customFormat="1" hidden="1" x14ac:dyDescent="0.2">
      <c r="C6024" s="180"/>
    </row>
    <row r="6025" spans="3:3" s="181" customFormat="1" hidden="1" x14ac:dyDescent="0.2">
      <c r="C6025" s="180"/>
    </row>
    <row r="6026" spans="3:3" s="181" customFormat="1" hidden="1" x14ac:dyDescent="0.2">
      <c r="C6026" s="180"/>
    </row>
    <row r="6027" spans="3:3" s="181" customFormat="1" hidden="1" x14ac:dyDescent="0.2">
      <c r="C6027" s="180"/>
    </row>
    <row r="6028" spans="3:3" s="181" customFormat="1" hidden="1" x14ac:dyDescent="0.2">
      <c r="C6028" s="180"/>
    </row>
    <row r="6029" spans="3:3" s="181" customFormat="1" hidden="1" x14ac:dyDescent="0.2">
      <c r="C6029" s="180"/>
    </row>
    <row r="6030" spans="3:3" s="181" customFormat="1" hidden="1" x14ac:dyDescent="0.2">
      <c r="C6030" s="180"/>
    </row>
    <row r="6031" spans="3:3" s="181" customFormat="1" hidden="1" x14ac:dyDescent="0.2">
      <c r="C6031" s="180"/>
    </row>
    <row r="6032" spans="3:3" s="181" customFormat="1" hidden="1" x14ac:dyDescent="0.2">
      <c r="C6032" s="180"/>
    </row>
    <row r="6033" spans="3:3" s="181" customFormat="1" hidden="1" x14ac:dyDescent="0.2">
      <c r="C6033" s="180"/>
    </row>
    <row r="6034" spans="3:3" s="181" customFormat="1" hidden="1" x14ac:dyDescent="0.2">
      <c r="C6034" s="180"/>
    </row>
    <row r="6035" spans="3:3" s="181" customFormat="1" hidden="1" x14ac:dyDescent="0.2">
      <c r="C6035" s="180"/>
    </row>
    <row r="6036" spans="3:3" s="181" customFormat="1" hidden="1" x14ac:dyDescent="0.2">
      <c r="C6036" s="180"/>
    </row>
    <row r="6037" spans="3:3" s="181" customFormat="1" hidden="1" x14ac:dyDescent="0.2">
      <c r="C6037" s="180"/>
    </row>
    <row r="6038" spans="3:3" s="181" customFormat="1" hidden="1" x14ac:dyDescent="0.2">
      <c r="C6038" s="180"/>
    </row>
    <row r="6039" spans="3:3" s="181" customFormat="1" hidden="1" x14ac:dyDescent="0.2">
      <c r="C6039" s="180"/>
    </row>
    <row r="6040" spans="3:3" s="181" customFormat="1" hidden="1" x14ac:dyDescent="0.2">
      <c r="C6040" s="180"/>
    </row>
    <row r="6041" spans="3:3" s="181" customFormat="1" hidden="1" x14ac:dyDescent="0.2">
      <c r="C6041" s="180"/>
    </row>
    <row r="6042" spans="3:3" s="181" customFormat="1" hidden="1" x14ac:dyDescent="0.2">
      <c r="C6042" s="180"/>
    </row>
    <row r="6043" spans="3:3" s="181" customFormat="1" hidden="1" x14ac:dyDescent="0.2">
      <c r="C6043" s="180"/>
    </row>
    <row r="6044" spans="3:3" s="181" customFormat="1" hidden="1" x14ac:dyDescent="0.2">
      <c r="C6044" s="180"/>
    </row>
    <row r="6045" spans="3:3" s="181" customFormat="1" hidden="1" x14ac:dyDescent="0.2">
      <c r="C6045" s="180"/>
    </row>
    <row r="6046" spans="3:3" s="181" customFormat="1" hidden="1" x14ac:dyDescent="0.2">
      <c r="C6046" s="180"/>
    </row>
    <row r="6047" spans="3:3" s="181" customFormat="1" hidden="1" x14ac:dyDescent="0.2">
      <c r="C6047" s="180"/>
    </row>
    <row r="6048" spans="3:3" s="181" customFormat="1" hidden="1" x14ac:dyDescent="0.2">
      <c r="C6048" s="180"/>
    </row>
    <row r="6049" spans="3:3" s="181" customFormat="1" hidden="1" x14ac:dyDescent="0.2">
      <c r="C6049" s="180"/>
    </row>
    <row r="6050" spans="3:3" s="181" customFormat="1" hidden="1" x14ac:dyDescent="0.2">
      <c r="C6050" s="180"/>
    </row>
    <row r="6051" spans="3:3" s="181" customFormat="1" hidden="1" x14ac:dyDescent="0.2">
      <c r="C6051" s="180"/>
    </row>
    <row r="6052" spans="3:3" s="181" customFormat="1" hidden="1" x14ac:dyDescent="0.2">
      <c r="C6052" s="180"/>
    </row>
    <row r="6053" spans="3:3" s="181" customFormat="1" hidden="1" x14ac:dyDescent="0.2">
      <c r="C6053" s="180"/>
    </row>
    <row r="6054" spans="3:3" s="181" customFormat="1" hidden="1" x14ac:dyDescent="0.2">
      <c r="C6054" s="180"/>
    </row>
    <row r="6055" spans="3:3" s="181" customFormat="1" hidden="1" x14ac:dyDescent="0.2">
      <c r="C6055" s="180"/>
    </row>
    <row r="6056" spans="3:3" s="181" customFormat="1" hidden="1" x14ac:dyDescent="0.2">
      <c r="C6056" s="180"/>
    </row>
    <row r="6057" spans="3:3" s="181" customFormat="1" hidden="1" x14ac:dyDescent="0.2">
      <c r="C6057" s="180"/>
    </row>
    <row r="6058" spans="3:3" s="181" customFormat="1" hidden="1" x14ac:dyDescent="0.2">
      <c r="C6058" s="180"/>
    </row>
    <row r="6059" spans="3:3" s="181" customFormat="1" hidden="1" x14ac:dyDescent="0.2">
      <c r="C6059" s="180"/>
    </row>
    <row r="6060" spans="3:3" s="181" customFormat="1" hidden="1" x14ac:dyDescent="0.2">
      <c r="C6060" s="180"/>
    </row>
    <row r="6061" spans="3:3" s="181" customFormat="1" hidden="1" x14ac:dyDescent="0.2">
      <c r="C6061" s="180"/>
    </row>
    <row r="6062" spans="3:3" s="181" customFormat="1" hidden="1" x14ac:dyDescent="0.2">
      <c r="C6062" s="180"/>
    </row>
    <row r="6063" spans="3:3" s="181" customFormat="1" hidden="1" x14ac:dyDescent="0.2">
      <c r="C6063" s="180"/>
    </row>
    <row r="6064" spans="3:3" s="181" customFormat="1" hidden="1" x14ac:dyDescent="0.2">
      <c r="C6064" s="180"/>
    </row>
    <row r="6065" spans="3:3" s="181" customFormat="1" hidden="1" x14ac:dyDescent="0.2">
      <c r="C6065" s="180"/>
    </row>
    <row r="6066" spans="3:3" s="181" customFormat="1" hidden="1" x14ac:dyDescent="0.2">
      <c r="C6066" s="180"/>
    </row>
    <row r="6067" spans="3:3" s="181" customFormat="1" hidden="1" x14ac:dyDescent="0.2">
      <c r="C6067" s="180"/>
    </row>
    <row r="6068" spans="3:3" s="181" customFormat="1" hidden="1" x14ac:dyDescent="0.2">
      <c r="C6068" s="180"/>
    </row>
    <row r="6069" spans="3:3" s="181" customFormat="1" hidden="1" x14ac:dyDescent="0.2">
      <c r="C6069" s="180"/>
    </row>
    <row r="6070" spans="3:3" s="181" customFormat="1" hidden="1" x14ac:dyDescent="0.2">
      <c r="C6070" s="180"/>
    </row>
    <row r="6071" spans="3:3" s="181" customFormat="1" hidden="1" x14ac:dyDescent="0.2">
      <c r="C6071" s="180"/>
    </row>
    <row r="6072" spans="3:3" s="181" customFormat="1" hidden="1" x14ac:dyDescent="0.2">
      <c r="C6072" s="180"/>
    </row>
    <row r="6073" spans="3:3" s="181" customFormat="1" hidden="1" x14ac:dyDescent="0.2">
      <c r="C6073" s="180"/>
    </row>
    <row r="6074" spans="3:3" s="181" customFormat="1" hidden="1" x14ac:dyDescent="0.2">
      <c r="C6074" s="180"/>
    </row>
    <row r="6075" spans="3:3" s="181" customFormat="1" hidden="1" x14ac:dyDescent="0.2">
      <c r="C6075" s="180"/>
    </row>
    <row r="6076" spans="3:3" s="181" customFormat="1" hidden="1" x14ac:dyDescent="0.2">
      <c r="C6076" s="180"/>
    </row>
    <row r="6077" spans="3:3" s="181" customFormat="1" hidden="1" x14ac:dyDescent="0.2">
      <c r="C6077" s="180"/>
    </row>
    <row r="6078" spans="3:3" s="181" customFormat="1" hidden="1" x14ac:dyDescent="0.2">
      <c r="C6078" s="180"/>
    </row>
    <row r="6079" spans="3:3" s="181" customFormat="1" hidden="1" x14ac:dyDescent="0.2">
      <c r="C6079" s="180"/>
    </row>
    <row r="6080" spans="3:3" s="181" customFormat="1" hidden="1" x14ac:dyDescent="0.2">
      <c r="C6080" s="180"/>
    </row>
    <row r="6081" spans="3:3" s="181" customFormat="1" hidden="1" x14ac:dyDescent="0.2">
      <c r="C6081" s="180"/>
    </row>
    <row r="6082" spans="3:3" s="181" customFormat="1" hidden="1" x14ac:dyDescent="0.2">
      <c r="C6082" s="180"/>
    </row>
    <row r="6083" spans="3:3" s="181" customFormat="1" hidden="1" x14ac:dyDescent="0.2">
      <c r="C6083" s="180"/>
    </row>
    <row r="6084" spans="3:3" s="181" customFormat="1" hidden="1" x14ac:dyDescent="0.2">
      <c r="C6084" s="180"/>
    </row>
    <row r="6085" spans="3:3" s="181" customFormat="1" hidden="1" x14ac:dyDescent="0.2">
      <c r="C6085" s="180"/>
    </row>
    <row r="6086" spans="3:3" s="181" customFormat="1" hidden="1" x14ac:dyDescent="0.2">
      <c r="C6086" s="180"/>
    </row>
    <row r="6087" spans="3:3" s="181" customFormat="1" hidden="1" x14ac:dyDescent="0.2">
      <c r="C6087" s="180"/>
    </row>
    <row r="6088" spans="3:3" s="181" customFormat="1" hidden="1" x14ac:dyDescent="0.2">
      <c r="C6088" s="180"/>
    </row>
    <row r="6089" spans="3:3" s="181" customFormat="1" hidden="1" x14ac:dyDescent="0.2">
      <c r="C6089" s="180"/>
    </row>
    <row r="6090" spans="3:3" s="181" customFormat="1" hidden="1" x14ac:dyDescent="0.2">
      <c r="C6090" s="180"/>
    </row>
    <row r="6091" spans="3:3" s="181" customFormat="1" hidden="1" x14ac:dyDescent="0.2">
      <c r="C6091" s="180"/>
    </row>
    <row r="6092" spans="3:3" s="181" customFormat="1" hidden="1" x14ac:dyDescent="0.2">
      <c r="C6092" s="180"/>
    </row>
    <row r="6093" spans="3:3" s="181" customFormat="1" hidden="1" x14ac:dyDescent="0.2">
      <c r="C6093" s="180"/>
    </row>
    <row r="6094" spans="3:3" s="181" customFormat="1" hidden="1" x14ac:dyDescent="0.2">
      <c r="C6094" s="180"/>
    </row>
    <row r="6095" spans="3:3" s="181" customFormat="1" hidden="1" x14ac:dyDescent="0.2">
      <c r="C6095" s="180"/>
    </row>
    <row r="6096" spans="3:3" s="181" customFormat="1" hidden="1" x14ac:dyDescent="0.2">
      <c r="C6096" s="180"/>
    </row>
    <row r="6097" spans="3:3" s="181" customFormat="1" hidden="1" x14ac:dyDescent="0.2">
      <c r="C6097" s="180"/>
    </row>
    <row r="6098" spans="3:3" s="181" customFormat="1" hidden="1" x14ac:dyDescent="0.2">
      <c r="C6098" s="180"/>
    </row>
    <row r="6099" spans="3:3" s="181" customFormat="1" hidden="1" x14ac:dyDescent="0.2">
      <c r="C6099" s="180"/>
    </row>
    <row r="6100" spans="3:3" s="181" customFormat="1" hidden="1" x14ac:dyDescent="0.2">
      <c r="C6100" s="180"/>
    </row>
    <row r="6101" spans="3:3" s="181" customFormat="1" hidden="1" x14ac:dyDescent="0.2">
      <c r="C6101" s="180"/>
    </row>
    <row r="6102" spans="3:3" s="181" customFormat="1" hidden="1" x14ac:dyDescent="0.2">
      <c r="C6102" s="180"/>
    </row>
    <row r="6103" spans="3:3" s="181" customFormat="1" hidden="1" x14ac:dyDescent="0.2">
      <c r="C6103" s="180"/>
    </row>
    <row r="6104" spans="3:3" s="181" customFormat="1" hidden="1" x14ac:dyDescent="0.2">
      <c r="C6104" s="180"/>
    </row>
    <row r="6105" spans="3:3" s="181" customFormat="1" hidden="1" x14ac:dyDescent="0.2">
      <c r="C6105" s="180"/>
    </row>
    <row r="6106" spans="3:3" s="181" customFormat="1" hidden="1" x14ac:dyDescent="0.2">
      <c r="C6106" s="180"/>
    </row>
    <row r="6107" spans="3:3" s="181" customFormat="1" hidden="1" x14ac:dyDescent="0.2">
      <c r="C6107" s="180"/>
    </row>
    <row r="6108" spans="3:3" s="181" customFormat="1" hidden="1" x14ac:dyDescent="0.2">
      <c r="C6108" s="180"/>
    </row>
    <row r="6109" spans="3:3" s="181" customFormat="1" hidden="1" x14ac:dyDescent="0.2">
      <c r="C6109" s="180"/>
    </row>
    <row r="6110" spans="3:3" s="181" customFormat="1" hidden="1" x14ac:dyDescent="0.2">
      <c r="C6110" s="180"/>
    </row>
    <row r="6111" spans="3:3" s="181" customFormat="1" hidden="1" x14ac:dyDescent="0.2">
      <c r="C6111" s="180"/>
    </row>
    <row r="6112" spans="3:3" s="181" customFormat="1" hidden="1" x14ac:dyDescent="0.2">
      <c r="C6112" s="180"/>
    </row>
    <row r="6113" spans="3:3" s="181" customFormat="1" hidden="1" x14ac:dyDescent="0.2">
      <c r="C6113" s="180"/>
    </row>
    <row r="6114" spans="3:3" s="181" customFormat="1" hidden="1" x14ac:dyDescent="0.2">
      <c r="C6114" s="180"/>
    </row>
    <row r="6115" spans="3:3" s="181" customFormat="1" hidden="1" x14ac:dyDescent="0.2">
      <c r="C6115" s="180"/>
    </row>
    <row r="6116" spans="3:3" s="181" customFormat="1" hidden="1" x14ac:dyDescent="0.2">
      <c r="C6116" s="180"/>
    </row>
    <row r="6117" spans="3:3" s="181" customFormat="1" hidden="1" x14ac:dyDescent="0.2">
      <c r="C6117" s="180"/>
    </row>
    <row r="6118" spans="3:3" s="181" customFormat="1" hidden="1" x14ac:dyDescent="0.2">
      <c r="C6118" s="180"/>
    </row>
    <row r="6119" spans="3:3" s="181" customFormat="1" hidden="1" x14ac:dyDescent="0.2">
      <c r="C6119" s="180"/>
    </row>
    <row r="6120" spans="3:3" s="181" customFormat="1" hidden="1" x14ac:dyDescent="0.2">
      <c r="C6120" s="180"/>
    </row>
    <row r="6121" spans="3:3" s="181" customFormat="1" hidden="1" x14ac:dyDescent="0.2">
      <c r="C6121" s="180"/>
    </row>
    <row r="6122" spans="3:3" s="181" customFormat="1" hidden="1" x14ac:dyDescent="0.2">
      <c r="C6122" s="180"/>
    </row>
    <row r="6123" spans="3:3" s="181" customFormat="1" hidden="1" x14ac:dyDescent="0.2">
      <c r="C6123" s="180"/>
    </row>
    <row r="6124" spans="3:3" s="181" customFormat="1" hidden="1" x14ac:dyDescent="0.2">
      <c r="C6124" s="180"/>
    </row>
    <row r="6125" spans="3:3" s="181" customFormat="1" hidden="1" x14ac:dyDescent="0.2">
      <c r="C6125" s="180"/>
    </row>
    <row r="6126" spans="3:3" s="181" customFormat="1" hidden="1" x14ac:dyDescent="0.2">
      <c r="C6126" s="180"/>
    </row>
    <row r="6127" spans="3:3" s="181" customFormat="1" hidden="1" x14ac:dyDescent="0.2">
      <c r="C6127" s="180"/>
    </row>
    <row r="6128" spans="3:3" s="181" customFormat="1" hidden="1" x14ac:dyDescent="0.2">
      <c r="C6128" s="180"/>
    </row>
    <row r="6129" spans="3:3" s="181" customFormat="1" hidden="1" x14ac:dyDescent="0.2">
      <c r="C6129" s="180"/>
    </row>
    <row r="6130" spans="3:3" s="181" customFormat="1" hidden="1" x14ac:dyDescent="0.2">
      <c r="C6130" s="180"/>
    </row>
    <row r="6131" spans="3:3" s="181" customFormat="1" hidden="1" x14ac:dyDescent="0.2">
      <c r="C6131" s="180"/>
    </row>
    <row r="6132" spans="3:3" s="181" customFormat="1" hidden="1" x14ac:dyDescent="0.2">
      <c r="C6132" s="180"/>
    </row>
    <row r="6133" spans="3:3" s="181" customFormat="1" hidden="1" x14ac:dyDescent="0.2">
      <c r="C6133" s="180"/>
    </row>
    <row r="6134" spans="3:3" s="181" customFormat="1" hidden="1" x14ac:dyDescent="0.2">
      <c r="C6134" s="180"/>
    </row>
    <row r="6135" spans="3:3" s="181" customFormat="1" hidden="1" x14ac:dyDescent="0.2">
      <c r="C6135" s="180"/>
    </row>
    <row r="6136" spans="3:3" s="181" customFormat="1" hidden="1" x14ac:dyDescent="0.2">
      <c r="C6136" s="180"/>
    </row>
    <row r="6137" spans="3:3" s="181" customFormat="1" hidden="1" x14ac:dyDescent="0.2">
      <c r="C6137" s="180"/>
    </row>
    <row r="6138" spans="3:3" s="181" customFormat="1" hidden="1" x14ac:dyDescent="0.2">
      <c r="C6138" s="180"/>
    </row>
    <row r="6139" spans="3:3" s="181" customFormat="1" hidden="1" x14ac:dyDescent="0.2">
      <c r="C6139" s="180"/>
    </row>
    <row r="6140" spans="3:3" s="181" customFormat="1" hidden="1" x14ac:dyDescent="0.2">
      <c r="C6140" s="180"/>
    </row>
    <row r="6141" spans="3:3" s="181" customFormat="1" hidden="1" x14ac:dyDescent="0.2">
      <c r="C6141" s="180"/>
    </row>
    <row r="6142" spans="3:3" s="181" customFormat="1" hidden="1" x14ac:dyDescent="0.2">
      <c r="C6142" s="180"/>
    </row>
    <row r="6143" spans="3:3" s="181" customFormat="1" hidden="1" x14ac:dyDescent="0.2">
      <c r="C6143" s="180"/>
    </row>
    <row r="6144" spans="3:3" s="181" customFormat="1" hidden="1" x14ac:dyDescent="0.2">
      <c r="C6144" s="180"/>
    </row>
    <row r="6145" spans="3:3" s="181" customFormat="1" hidden="1" x14ac:dyDescent="0.2">
      <c r="C6145" s="180"/>
    </row>
    <row r="6146" spans="3:3" s="181" customFormat="1" hidden="1" x14ac:dyDescent="0.2">
      <c r="C6146" s="180"/>
    </row>
    <row r="6147" spans="3:3" s="181" customFormat="1" hidden="1" x14ac:dyDescent="0.2">
      <c r="C6147" s="180"/>
    </row>
    <row r="6148" spans="3:3" s="181" customFormat="1" hidden="1" x14ac:dyDescent="0.2">
      <c r="C6148" s="180"/>
    </row>
    <row r="6149" spans="3:3" s="181" customFormat="1" hidden="1" x14ac:dyDescent="0.2">
      <c r="C6149" s="180"/>
    </row>
    <row r="6150" spans="3:3" s="181" customFormat="1" hidden="1" x14ac:dyDescent="0.2">
      <c r="C6150" s="180"/>
    </row>
    <row r="6151" spans="3:3" s="181" customFormat="1" hidden="1" x14ac:dyDescent="0.2">
      <c r="C6151" s="180"/>
    </row>
    <row r="6152" spans="3:3" s="181" customFormat="1" hidden="1" x14ac:dyDescent="0.2">
      <c r="C6152" s="180"/>
    </row>
    <row r="6153" spans="3:3" s="181" customFormat="1" hidden="1" x14ac:dyDescent="0.2">
      <c r="C6153" s="180"/>
    </row>
    <row r="6154" spans="3:3" s="181" customFormat="1" hidden="1" x14ac:dyDescent="0.2">
      <c r="C6154" s="180"/>
    </row>
    <row r="6155" spans="3:3" s="181" customFormat="1" hidden="1" x14ac:dyDescent="0.2">
      <c r="C6155" s="180"/>
    </row>
    <row r="6156" spans="3:3" s="181" customFormat="1" hidden="1" x14ac:dyDescent="0.2">
      <c r="C6156" s="180"/>
    </row>
    <row r="6157" spans="3:3" s="181" customFormat="1" hidden="1" x14ac:dyDescent="0.2">
      <c r="C6157" s="180"/>
    </row>
    <row r="6158" spans="3:3" s="181" customFormat="1" hidden="1" x14ac:dyDescent="0.2">
      <c r="C6158" s="180"/>
    </row>
    <row r="6159" spans="3:3" s="181" customFormat="1" hidden="1" x14ac:dyDescent="0.2">
      <c r="C6159" s="180"/>
    </row>
    <row r="6160" spans="3:3" s="181" customFormat="1" hidden="1" x14ac:dyDescent="0.2">
      <c r="C6160" s="180"/>
    </row>
    <row r="6161" spans="3:3" s="181" customFormat="1" hidden="1" x14ac:dyDescent="0.2">
      <c r="C6161" s="180"/>
    </row>
    <row r="6162" spans="3:3" s="181" customFormat="1" hidden="1" x14ac:dyDescent="0.2">
      <c r="C6162" s="180"/>
    </row>
    <row r="6163" spans="3:3" s="181" customFormat="1" hidden="1" x14ac:dyDescent="0.2">
      <c r="C6163" s="180"/>
    </row>
    <row r="6164" spans="3:3" s="181" customFormat="1" hidden="1" x14ac:dyDescent="0.2">
      <c r="C6164" s="180"/>
    </row>
    <row r="6165" spans="3:3" s="181" customFormat="1" hidden="1" x14ac:dyDescent="0.2">
      <c r="C6165" s="180"/>
    </row>
    <row r="6166" spans="3:3" s="181" customFormat="1" hidden="1" x14ac:dyDescent="0.2">
      <c r="C6166" s="180"/>
    </row>
    <row r="6167" spans="3:3" s="181" customFormat="1" hidden="1" x14ac:dyDescent="0.2">
      <c r="C6167" s="180"/>
    </row>
    <row r="6168" spans="3:3" s="181" customFormat="1" hidden="1" x14ac:dyDescent="0.2">
      <c r="C6168" s="180"/>
    </row>
    <row r="6169" spans="3:3" s="181" customFormat="1" hidden="1" x14ac:dyDescent="0.2">
      <c r="C6169" s="180"/>
    </row>
    <row r="6170" spans="3:3" s="181" customFormat="1" hidden="1" x14ac:dyDescent="0.2">
      <c r="C6170" s="180"/>
    </row>
    <row r="6171" spans="3:3" s="181" customFormat="1" hidden="1" x14ac:dyDescent="0.2">
      <c r="C6171" s="180"/>
    </row>
    <row r="6172" spans="3:3" s="181" customFormat="1" hidden="1" x14ac:dyDescent="0.2">
      <c r="C6172" s="180"/>
    </row>
    <row r="6173" spans="3:3" s="181" customFormat="1" hidden="1" x14ac:dyDescent="0.2">
      <c r="C6173" s="180"/>
    </row>
    <row r="6174" spans="3:3" s="181" customFormat="1" hidden="1" x14ac:dyDescent="0.2">
      <c r="C6174" s="180"/>
    </row>
    <row r="6175" spans="3:3" s="181" customFormat="1" hidden="1" x14ac:dyDescent="0.2">
      <c r="C6175" s="180"/>
    </row>
    <row r="6176" spans="3:3" s="181" customFormat="1" hidden="1" x14ac:dyDescent="0.2">
      <c r="C6176" s="180"/>
    </row>
    <row r="6177" spans="3:3" s="181" customFormat="1" hidden="1" x14ac:dyDescent="0.2">
      <c r="C6177" s="180"/>
    </row>
    <row r="6178" spans="3:3" s="181" customFormat="1" hidden="1" x14ac:dyDescent="0.2">
      <c r="C6178" s="180"/>
    </row>
    <row r="6179" spans="3:3" s="181" customFormat="1" hidden="1" x14ac:dyDescent="0.2">
      <c r="C6179" s="180"/>
    </row>
    <row r="6180" spans="3:3" s="181" customFormat="1" hidden="1" x14ac:dyDescent="0.2">
      <c r="C6180" s="180"/>
    </row>
    <row r="6181" spans="3:3" s="181" customFormat="1" hidden="1" x14ac:dyDescent="0.2">
      <c r="C6181" s="180"/>
    </row>
    <row r="6182" spans="3:3" s="181" customFormat="1" hidden="1" x14ac:dyDescent="0.2">
      <c r="C6182" s="180"/>
    </row>
    <row r="6183" spans="3:3" s="181" customFormat="1" hidden="1" x14ac:dyDescent="0.2">
      <c r="C6183" s="180"/>
    </row>
    <row r="6184" spans="3:3" s="181" customFormat="1" hidden="1" x14ac:dyDescent="0.2">
      <c r="C6184" s="180"/>
    </row>
    <row r="6185" spans="3:3" s="181" customFormat="1" hidden="1" x14ac:dyDescent="0.2">
      <c r="C6185" s="180"/>
    </row>
    <row r="6186" spans="3:3" s="181" customFormat="1" hidden="1" x14ac:dyDescent="0.2">
      <c r="C6186" s="180"/>
    </row>
    <row r="6187" spans="3:3" s="181" customFormat="1" hidden="1" x14ac:dyDescent="0.2">
      <c r="C6187" s="180"/>
    </row>
    <row r="6188" spans="3:3" s="181" customFormat="1" hidden="1" x14ac:dyDescent="0.2">
      <c r="C6188" s="180"/>
    </row>
    <row r="6189" spans="3:3" s="181" customFormat="1" hidden="1" x14ac:dyDescent="0.2">
      <c r="C6189" s="180"/>
    </row>
    <row r="6190" spans="3:3" s="181" customFormat="1" hidden="1" x14ac:dyDescent="0.2">
      <c r="C6190" s="180"/>
    </row>
    <row r="6191" spans="3:3" s="181" customFormat="1" hidden="1" x14ac:dyDescent="0.2">
      <c r="C6191" s="180"/>
    </row>
    <row r="6192" spans="3:3" s="181" customFormat="1" hidden="1" x14ac:dyDescent="0.2">
      <c r="C6192" s="180"/>
    </row>
    <row r="6193" spans="3:3" s="181" customFormat="1" hidden="1" x14ac:dyDescent="0.2">
      <c r="C6193" s="180"/>
    </row>
    <row r="6194" spans="3:3" s="181" customFormat="1" hidden="1" x14ac:dyDescent="0.2">
      <c r="C6194" s="180"/>
    </row>
    <row r="6195" spans="3:3" s="181" customFormat="1" hidden="1" x14ac:dyDescent="0.2">
      <c r="C6195" s="180"/>
    </row>
    <row r="6196" spans="3:3" s="181" customFormat="1" hidden="1" x14ac:dyDescent="0.2">
      <c r="C6196" s="180"/>
    </row>
    <row r="6197" spans="3:3" s="181" customFormat="1" hidden="1" x14ac:dyDescent="0.2">
      <c r="C6197" s="180"/>
    </row>
    <row r="6198" spans="3:3" s="181" customFormat="1" hidden="1" x14ac:dyDescent="0.2">
      <c r="C6198" s="180"/>
    </row>
    <row r="6199" spans="3:3" s="181" customFormat="1" hidden="1" x14ac:dyDescent="0.2">
      <c r="C6199" s="180"/>
    </row>
    <row r="6200" spans="3:3" s="181" customFormat="1" hidden="1" x14ac:dyDescent="0.2">
      <c r="C6200" s="180"/>
    </row>
    <row r="6201" spans="3:3" s="181" customFormat="1" hidden="1" x14ac:dyDescent="0.2">
      <c r="C6201" s="180"/>
    </row>
    <row r="6202" spans="3:3" s="181" customFormat="1" hidden="1" x14ac:dyDescent="0.2">
      <c r="C6202" s="180"/>
    </row>
    <row r="6203" spans="3:3" s="181" customFormat="1" hidden="1" x14ac:dyDescent="0.2">
      <c r="C6203" s="180"/>
    </row>
    <row r="6204" spans="3:3" s="181" customFormat="1" hidden="1" x14ac:dyDescent="0.2">
      <c r="C6204" s="180"/>
    </row>
    <row r="6205" spans="3:3" s="181" customFormat="1" hidden="1" x14ac:dyDescent="0.2">
      <c r="C6205" s="180"/>
    </row>
    <row r="6206" spans="3:3" s="181" customFormat="1" hidden="1" x14ac:dyDescent="0.2">
      <c r="C6206" s="180"/>
    </row>
    <row r="6207" spans="3:3" s="181" customFormat="1" hidden="1" x14ac:dyDescent="0.2">
      <c r="C6207" s="180"/>
    </row>
    <row r="6208" spans="3:3" s="181" customFormat="1" hidden="1" x14ac:dyDescent="0.2">
      <c r="C6208" s="180"/>
    </row>
    <row r="6209" spans="3:3" s="181" customFormat="1" hidden="1" x14ac:dyDescent="0.2">
      <c r="C6209" s="180"/>
    </row>
    <row r="6210" spans="3:3" s="181" customFormat="1" hidden="1" x14ac:dyDescent="0.2">
      <c r="C6210" s="180"/>
    </row>
    <row r="6211" spans="3:3" s="181" customFormat="1" hidden="1" x14ac:dyDescent="0.2">
      <c r="C6211" s="180"/>
    </row>
    <row r="6212" spans="3:3" s="181" customFormat="1" hidden="1" x14ac:dyDescent="0.2">
      <c r="C6212" s="180"/>
    </row>
    <row r="6213" spans="3:3" s="181" customFormat="1" hidden="1" x14ac:dyDescent="0.2">
      <c r="C6213" s="180"/>
    </row>
    <row r="6214" spans="3:3" s="181" customFormat="1" hidden="1" x14ac:dyDescent="0.2">
      <c r="C6214" s="180"/>
    </row>
    <row r="6215" spans="3:3" s="181" customFormat="1" hidden="1" x14ac:dyDescent="0.2">
      <c r="C6215" s="180"/>
    </row>
    <row r="6216" spans="3:3" s="181" customFormat="1" hidden="1" x14ac:dyDescent="0.2">
      <c r="C6216" s="180"/>
    </row>
    <row r="6217" spans="3:3" s="181" customFormat="1" hidden="1" x14ac:dyDescent="0.2">
      <c r="C6217" s="180"/>
    </row>
    <row r="6218" spans="3:3" s="181" customFormat="1" hidden="1" x14ac:dyDescent="0.2">
      <c r="C6218" s="180"/>
    </row>
    <row r="6219" spans="3:3" s="181" customFormat="1" hidden="1" x14ac:dyDescent="0.2">
      <c r="C6219" s="180"/>
    </row>
    <row r="6220" spans="3:3" s="181" customFormat="1" hidden="1" x14ac:dyDescent="0.2">
      <c r="C6220" s="180"/>
    </row>
    <row r="6221" spans="3:3" s="181" customFormat="1" hidden="1" x14ac:dyDescent="0.2">
      <c r="C6221" s="180"/>
    </row>
    <row r="6222" spans="3:3" s="181" customFormat="1" hidden="1" x14ac:dyDescent="0.2">
      <c r="C6222" s="180"/>
    </row>
    <row r="6223" spans="3:3" s="181" customFormat="1" hidden="1" x14ac:dyDescent="0.2">
      <c r="C6223" s="180"/>
    </row>
    <row r="6224" spans="3:3" s="181" customFormat="1" hidden="1" x14ac:dyDescent="0.2">
      <c r="C6224" s="180"/>
    </row>
    <row r="6225" spans="3:3" s="181" customFormat="1" hidden="1" x14ac:dyDescent="0.2">
      <c r="C6225" s="180"/>
    </row>
    <row r="6226" spans="3:3" s="181" customFormat="1" hidden="1" x14ac:dyDescent="0.2">
      <c r="C6226" s="180"/>
    </row>
    <row r="6227" spans="3:3" s="181" customFormat="1" hidden="1" x14ac:dyDescent="0.2">
      <c r="C6227" s="180"/>
    </row>
    <row r="6228" spans="3:3" s="181" customFormat="1" hidden="1" x14ac:dyDescent="0.2">
      <c r="C6228" s="180"/>
    </row>
    <row r="6229" spans="3:3" s="181" customFormat="1" hidden="1" x14ac:dyDescent="0.2">
      <c r="C6229" s="180"/>
    </row>
    <row r="6230" spans="3:3" s="181" customFormat="1" hidden="1" x14ac:dyDescent="0.2">
      <c r="C6230" s="180"/>
    </row>
    <row r="6231" spans="3:3" s="181" customFormat="1" hidden="1" x14ac:dyDescent="0.2">
      <c r="C6231" s="180"/>
    </row>
    <row r="6232" spans="3:3" s="181" customFormat="1" hidden="1" x14ac:dyDescent="0.2">
      <c r="C6232" s="180"/>
    </row>
    <row r="6233" spans="3:3" s="181" customFormat="1" hidden="1" x14ac:dyDescent="0.2">
      <c r="C6233" s="180"/>
    </row>
    <row r="6234" spans="3:3" s="181" customFormat="1" hidden="1" x14ac:dyDescent="0.2">
      <c r="C6234" s="180"/>
    </row>
    <row r="6235" spans="3:3" s="181" customFormat="1" hidden="1" x14ac:dyDescent="0.2">
      <c r="C6235" s="180"/>
    </row>
    <row r="6236" spans="3:3" s="181" customFormat="1" hidden="1" x14ac:dyDescent="0.2">
      <c r="C6236" s="180"/>
    </row>
    <row r="6237" spans="3:3" s="181" customFormat="1" hidden="1" x14ac:dyDescent="0.2">
      <c r="C6237" s="180"/>
    </row>
    <row r="6238" spans="3:3" s="181" customFormat="1" hidden="1" x14ac:dyDescent="0.2">
      <c r="C6238" s="180"/>
    </row>
    <row r="6239" spans="3:3" s="181" customFormat="1" hidden="1" x14ac:dyDescent="0.2">
      <c r="C6239" s="180"/>
    </row>
    <row r="6240" spans="3:3" s="181" customFormat="1" hidden="1" x14ac:dyDescent="0.2">
      <c r="C6240" s="180"/>
    </row>
    <row r="6241" spans="3:3" s="181" customFormat="1" hidden="1" x14ac:dyDescent="0.2">
      <c r="C6241" s="180"/>
    </row>
    <row r="6242" spans="3:3" s="181" customFormat="1" hidden="1" x14ac:dyDescent="0.2">
      <c r="C6242" s="180"/>
    </row>
    <row r="6243" spans="3:3" s="181" customFormat="1" hidden="1" x14ac:dyDescent="0.2">
      <c r="C6243" s="180"/>
    </row>
    <row r="6244" spans="3:3" s="181" customFormat="1" hidden="1" x14ac:dyDescent="0.2">
      <c r="C6244" s="180"/>
    </row>
    <row r="6245" spans="3:3" s="181" customFormat="1" hidden="1" x14ac:dyDescent="0.2">
      <c r="C6245" s="180"/>
    </row>
    <row r="6246" spans="3:3" s="181" customFormat="1" hidden="1" x14ac:dyDescent="0.2">
      <c r="C6246" s="180"/>
    </row>
    <row r="6247" spans="3:3" s="181" customFormat="1" hidden="1" x14ac:dyDescent="0.2">
      <c r="C6247" s="180"/>
    </row>
    <row r="6248" spans="3:3" s="181" customFormat="1" hidden="1" x14ac:dyDescent="0.2">
      <c r="C6248" s="180"/>
    </row>
    <row r="6249" spans="3:3" s="181" customFormat="1" hidden="1" x14ac:dyDescent="0.2">
      <c r="C6249" s="180"/>
    </row>
    <row r="6250" spans="3:3" s="181" customFormat="1" hidden="1" x14ac:dyDescent="0.2">
      <c r="C6250" s="180"/>
    </row>
    <row r="6251" spans="3:3" s="181" customFormat="1" hidden="1" x14ac:dyDescent="0.2">
      <c r="C6251" s="180"/>
    </row>
    <row r="6252" spans="3:3" s="181" customFormat="1" hidden="1" x14ac:dyDescent="0.2">
      <c r="C6252" s="180"/>
    </row>
    <row r="6253" spans="3:3" s="181" customFormat="1" hidden="1" x14ac:dyDescent="0.2">
      <c r="C6253" s="180"/>
    </row>
    <row r="6254" spans="3:3" s="181" customFormat="1" hidden="1" x14ac:dyDescent="0.2">
      <c r="C6254" s="180"/>
    </row>
    <row r="6255" spans="3:3" s="181" customFormat="1" hidden="1" x14ac:dyDescent="0.2">
      <c r="C6255" s="180"/>
    </row>
    <row r="6256" spans="3:3" s="181" customFormat="1" hidden="1" x14ac:dyDescent="0.2">
      <c r="C6256" s="180"/>
    </row>
    <row r="6257" spans="3:3" s="181" customFormat="1" hidden="1" x14ac:dyDescent="0.2">
      <c r="C6257" s="180"/>
    </row>
    <row r="6258" spans="3:3" s="181" customFormat="1" hidden="1" x14ac:dyDescent="0.2">
      <c r="C6258" s="180"/>
    </row>
    <row r="6259" spans="3:3" s="181" customFormat="1" hidden="1" x14ac:dyDescent="0.2">
      <c r="C6259" s="180"/>
    </row>
    <row r="6260" spans="3:3" s="181" customFormat="1" hidden="1" x14ac:dyDescent="0.2">
      <c r="C6260" s="180"/>
    </row>
    <row r="6261" spans="3:3" s="181" customFormat="1" hidden="1" x14ac:dyDescent="0.2">
      <c r="C6261" s="180"/>
    </row>
    <row r="6262" spans="3:3" s="181" customFormat="1" hidden="1" x14ac:dyDescent="0.2">
      <c r="C6262" s="180"/>
    </row>
    <row r="6263" spans="3:3" s="181" customFormat="1" hidden="1" x14ac:dyDescent="0.2">
      <c r="C6263" s="180"/>
    </row>
    <row r="6264" spans="3:3" s="181" customFormat="1" hidden="1" x14ac:dyDescent="0.2">
      <c r="C6264" s="180"/>
    </row>
    <row r="6265" spans="3:3" s="181" customFormat="1" hidden="1" x14ac:dyDescent="0.2">
      <c r="C6265" s="180"/>
    </row>
    <row r="6266" spans="3:3" s="181" customFormat="1" hidden="1" x14ac:dyDescent="0.2">
      <c r="C6266" s="180"/>
    </row>
    <row r="6267" spans="3:3" s="181" customFormat="1" hidden="1" x14ac:dyDescent="0.2">
      <c r="C6267" s="180"/>
    </row>
    <row r="6268" spans="3:3" s="181" customFormat="1" hidden="1" x14ac:dyDescent="0.2">
      <c r="C6268" s="180"/>
    </row>
    <row r="6269" spans="3:3" s="181" customFormat="1" hidden="1" x14ac:dyDescent="0.2">
      <c r="C6269" s="180"/>
    </row>
    <row r="6270" spans="3:3" s="181" customFormat="1" hidden="1" x14ac:dyDescent="0.2">
      <c r="C6270" s="180"/>
    </row>
    <row r="6271" spans="3:3" s="181" customFormat="1" hidden="1" x14ac:dyDescent="0.2">
      <c r="C6271" s="180"/>
    </row>
    <row r="6272" spans="3:3" s="181" customFormat="1" hidden="1" x14ac:dyDescent="0.2">
      <c r="C6272" s="180"/>
    </row>
    <row r="6273" spans="3:3" s="181" customFormat="1" hidden="1" x14ac:dyDescent="0.2">
      <c r="C6273" s="180"/>
    </row>
    <row r="6274" spans="3:3" s="181" customFormat="1" hidden="1" x14ac:dyDescent="0.2">
      <c r="C6274" s="180"/>
    </row>
    <row r="6275" spans="3:3" s="181" customFormat="1" hidden="1" x14ac:dyDescent="0.2">
      <c r="C6275" s="180"/>
    </row>
    <row r="6276" spans="3:3" s="181" customFormat="1" hidden="1" x14ac:dyDescent="0.2">
      <c r="C6276" s="180"/>
    </row>
    <row r="6277" spans="3:3" s="181" customFormat="1" hidden="1" x14ac:dyDescent="0.2">
      <c r="C6277" s="180"/>
    </row>
    <row r="6278" spans="3:3" s="181" customFormat="1" hidden="1" x14ac:dyDescent="0.2">
      <c r="C6278" s="180"/>
    </row>
    <row r="6279" spans="3:3" s="181" customFormat="1" hidden="1" x14ac:dyDescent="0.2">
      <c r="C6279" s="180"/>
    </row>
    <row r="6280" spans="3:3" s="181" customFormat="1" hidden="1" x14ac:dyDescent="0.2">
      <c r="C6280" s="180"/>
    </row>
    <row r="6281" spans="3:3" s="181" customFormat="1" hidden="1" x14ac:dyDescent="0.2">
      <c r="C6281" s="180"/>
    </row>
    <row r="6282" spans="3:3" s="181" customFormat="1" hidden="1" x14ac:dyDescent="0.2">
      <c r="C6282" s="180"/>
    </row>
    <row r="6283" spans="3:3" s="181" customFormat="1" hidden="1" x14ac:dyDescent="0.2">
      <c r="C6283" s="180"/>
    </row>
    <row r="6284" spans="3:3" s="181" customFormat="1" hidden="1" x14ac:dyDescent="0.2">
      <c r="C6284" s="180"/>
    </row>
    <row r="6285" spans="3:3" s="181" customFormat="1" hidden="1" x14ac:dyDescent="0.2">
      <c r="C6285" s="180"/>
    </row>
    <row r="6286" spans="3:3" s="181" customFormat="1" hidden="1" x14ac:dyDescent="0.2">
      <c r="C6286" s="180"/>
    </row>
    <row r="6287" spans="3:3" s="181" customFormat="1" hidden="1" x14ac:dyDescent="0.2">
      <c r="C6287" s="180"/>
    </row>
    <row r="6288" spans="3:3" s="181" customFormat="1" hidden="1" x14ac:dyDescent="0.2">
      <c r="C6288" s="180"/>
    </row>
    <row r="6289" spans="3:3" s="181" customFormat="1" hidden="1" x14ac:dyDescent="0.2">
      <c r="C6289" s="180"/>
    </row>
    <row r="6290" spans="3:3" s="181" customFormat="1" hidden="1" x14ac:dyDescent="0.2">
      <c r="C6290" s="180"/>
    </row>
    <row r="6291" spans="3:3" s="181" customFormat="1" hidden="1" x14ac:dyDescent="0.2">
      <c r="C6291" s="180"/>
    </row>
    <row r="6292" spans="3:3" s="181" customFormat="1" hidden="1" x14ac:dyDescent="0.2">
      <c r="C6292" s="180"/>
    </row>
    <row r="6293" spans="3:3" s="181" customFormat="1" hidden="1" x14ac:dyDescent="0.2">
      <c r="C6293" s="180"/>
    </row>
    <row r="6294" spans="3:3" s="181" customFormat="1" hidden="1" x14ac:dyDescent="0.2">
      <c r="C6294" s="180"/>
    </row>
    <row r="6295" spans="3:3" s="181" customFormat="1" hidden="1" x14ac:dyDescent="0.2">
      <c r="C6295" s="180"/>
    </row>
    <row r="6296" spans="3:3" s="181" customFormat="1" hidden="1" x14ac:dyDescent="0.2">
      <c r="C6296" s="180"/>
    </row>
    <row r="6297" spans="3:3" s="181" customFormat="1" hidden="1" x14ac:dyDescent="0.2">
      <c r="C6297" s="180"/>
    </row>
    <row r="6298" spans="3:3" s="181" customFormat="1" hidden="1" x14ac:dyDescent="0.2">
      <c r="C6298" s="180"/>
    </row>
    <row r="6299" spans="3:3" s="181" customFormat="1" hidden="1" x14ac:dyDescent="0.2">
      <c r="C6299" s="180"/>
    </row>
    <row r="6300" spans="3:3" s="181" customFormat="1" hidden="1" x14ac:dyDescent="0.2">
      <c r="C6300" s="180"/>
    </row>
    <row r="6301" spans="3:3" s="181" customFormat="1" hidden="1" x14ac:dyDescent="0.2">
      <c r="C6301" s="180"/>
    </row>
    <row r="6302" spans="3:3" s="181" customFormat="1" hidden="1" x14ac:dyDescent="0.2">
      <c r="C6302" s="180"/>
    </row>
    <row r="6303" spans="3:3" s="181" customFormat="1" hidden="1" x14ac:dyDescent="0.2">
      <c r="C6303" s="180"/>
    </row>
    <row r="6304" spans="3:3" s="181" customFormat="1" hidden="1" x14ac:dyDescent="0.2">
      <c r="C6304" s="180"/>
    </row>
    <row r="6305" spans="3:3" s="181" customFormat="1" hidden="1" x14ac:dyDescent="0.2">
      <c r="C6305" s="180"/>
    </row>
    <row r="6306" spans="3:3" s="181" customFormat="1" hidden="1" x14ac:dyDescent="0.2">
      <c r="C6306" s="180"/>
    </row>
    <row r="6307" spans="3:3" s="181" customFormat="1" hidden="1" x14ac:dyDescent="0.2">
      <c r="C6307" s="180"/>
    </row>
    <row r="6308" spans="3:3" s="181" customFormat="1" hidden="1" x14ac:dyDescent="0.2">
      <c r="C6308" s="180"/>
    </row>
    <row r="6309" spans="3:3" s="181" customFormat="1" hidden="1" x14ac:dyDescent="0.2">
      <c r="C6309" s="180"/>
    </row>
    <row r="6310" spans="3:3" s="181" customFormat="1" hidden="1" x14ac:dyDescent="0.2">
      <c r="C6310" s="180"/>
    </row>
    <row r="6311" spans="3:3" s="181" customFormat="1" hidden="1" x14ac:dyDescent="0.2">
      <c r="C6311" s="180"/>
    </row>
    <row r="6312" spans="3:3" s="181" customFormat="1" hidden="1" x14ac:dyDescent="0.2">
      <c r="C6312" s="180"/>
    </row>
    <row r="6313" spans="3:3" s="181" customFormat="1" hidden="1" x14ac:dyDescent="0.2">
      <c r="C6313" s="180"/>
    </row>
    <row r="6314" spans="3:3" s="181" customFormat="1" hidden="1" x14ac:dyDescent="0.2">
      <c r="C6314" s="180"/>
    </row>
    <row r="6315" spans="3:3" s="181" customFormat="1" hidden="1" x14ac:dyDescent="0.2">
      <c r="C6315" s="180"/>
    </row>
    <row r="6316" spans="3:3" s="181" customFormat="1" hidden="1" x14ac:dyDescent="0.2">
      <c r="C6316" s="180"/>
    </row>
    <row r="6317" spans="3:3" s="181" customFormat="1" hidden="1" x14ac:dyDescent="0.2">
      <c r="C6317" s="180"/>
    </row>
    <row r="6318" spans="3:3" s="181" customFormat="1" hidden="1" x14ac:dyDescent="0.2">
      <c r="C6318" s="180"/>
    </row>
    <row r="6319" spans="3:3" s="181" customFormat="1" hidden="1" x14ac:dyDescent="0.2">
      <c r="C6319" s="180"/>
    </row>
    <row r="6320" spans="3:3" s="181" customFormat="1" hidden="1" x14ac:dyDescent="0.2">
      <c r="C6320" s="180"/>
    </row>
    <row r="6321" spans="3:3" s="181" customFormat="1" hidden="1" x14ac:dyDescent="0.2">
      <c r="C6321" s="180"/>
    </row>
    <row r="6322" spans="3:3" s="181" customFormat="1" hidden="1" x14ac:dyDescent="0.2">
      <c r="C6322" s="180"/>
    </row>
    <row r="6323" spans="3:3" s="181" customFormat="1" hidden="1" x14ac:dyDescent="0.2">
      <c r="C6323" s="180"/>
    </row>
    <row r="6324" spans="3:3" s="181" customFormat="1" hidden="1" x14ac:dyDescent="0.2">
      <c r="C6324" s="180"/>
    </row>
    <row r="6325" spans="3:3" s="181" customFormat="1" hidden="1" x14ac:dyDescent="0.2">
      <c r="C6325" s="180"/>
    </row>
    <row r="6326" spans="3:3" s="181" customFormat="1" hidden="1" x14ac:dyDescent="0.2">
      <c r="C6326" s="180"/>
    </row>
    <row r="6327" spans="3:3" s="181" customFormat="1" hidden="1" x14ac:dyDescent="0.2">
      <c r="C6327" s="180"/>
    </row>
    <row r="6328" spans="3:3" s="181" customFormat="1" hidden="1" x14ac:dyDescent="0.2">
      <c r="C6328" s="180"/>
    </row>
    <row r="6329" spans="3:3" s="181" customFormat="1" hidden="1" x14ac:dyDescent="0.2">
      <c r="C6329" s="180"/>
    </row>
    <row r="6330" spans="3:3" s="181" customFormat="1" hidden="1" x14ac:dyDescent="0.2">
      <c r="C6330" s="180"/>
    </row>
    <row r="6331" spans="3:3" s="181" customFormat="1" hidden="1" x14ac:dyDescent="0.2">
      <c r="C6331" s="180"/>
    </row>
    <row r="6332" spans="3:3" s="181" customFormat="1" hidden="1" x14ac:dyDescent="0.2">
      <c r="C6332" s="180"/>
    </row>
    <row r="6333" spans="3:3" s="181" customFormat="1" hidden="1" x14ac:dyDescent="0.2">
      <c r="C6333" s="180"/>
    </row>
    <row r="6334" spans="3:3" s="181" customFormat="1" hidden="1" x14ac:dyDescent="0.2">
      <c r="C6334" s="180"/>
    </row>
    <row r="6335" spans="3:3" s="181" customFormat="1" hidden="1" x14ac:dyDescent="0.2">
      <c r="C6335" s="180"/>
    </row>
    <row r="6336" spans="3:3" s="181" customFormat="1" hidden="1" x14ac:dyDescent="0.2">
      <c r="C6336" s="180"/>
    </row>
    <row r="6337" spans="3:3" s="181" customFormat="1" hidden="1" x14ac:dyDescent="0.2">
      <c r="C6337" s="180"/>
    </row>
    <row r="6338" spans="3:3" s="181" customFormat="1" hidden="1" x14ac:dyDescent="0.2">
      <c r="C6338" s="180"/>
    </row>
    <row r="6339" spans="3:3" s="181" customFormat="1" hidden="1" x14ac:dyDescent="0.2">
      <c r="C6339" s="180"/>
    </row>
    <row r="6340" spans="3:3" s="181" customFormat="1" hidden="1" x14ac:dyDescent="0.2">
      <c r="C6340" s="180"/>
    </row>
    <row r="6341" spans="3:3" s="181" customFormat="1" hidden="1" x14ac:dyDescent="0.2">
      <c r="C6341" s="180"/>
    </row>
    <row r="6342" spans="3:3" s="181" customFormat="1" hidden="1" x14ac:dyDescent="0.2">
      <c r="C6342" s="180"/>
    </row>
    <row r="6343" spans="3:3" s="181" customFormat="1" hidden="1" x14ac:dyDescent="0.2">
      <c r="C6343" s="180"/>
    </row>
    <row r="6344" spans="3:3" s="181" customFormat="1" hidden="1" x14ac:dyDescent="0.2">
      <c r="C6344" s="180"/>
    </row>
    <row r="6345" spans="3:3" s="181" customFormat="1" hidden="1" x14ac:dyDescent="0.2">
      <c r="C6345" s="180"/>
    </row>
    <row r="6346" spans="3:3" s="181" customFormat="1" hidden="1" x14ac:dyDescent="0.2">
      <c r="C6346" s="180"/>
    </row>
    <row r="6347" spans="3:3" s="181" customFormat="1" hidden="1" x14ac:dyDescent="0.2">
      <c r="C6347" s="180"/>
    </row>
    <row r="6348" spans="3:3" s="181" customFormat="1" hidden="1" x14ac:dyDescent="0.2">
      <c r="C6348" s="180"/>
    </row>
    <row r="6349" spans="3:3" s="181" customFormat="1" hidden="1" x14ac:dyDescent="0.2">
      <c r="C6349" s="180"/>
    </row>
    <row r="6350" spans="3:3" s="181" customFormat="1" hidden="1" x14ac:dyDescent="0.2">
      <c r="C6350" s="180"/>
    </row>
    <row r="6351" spans="3:3" s="181" customFormat="1" hidden="1" x14ac:dyDescent="0.2">
      <c r="C6351" s="180"/>
    </row>
    <row r="6352" spans="3:3" s="181" customFormat="1" hidden="1" x14ac:dyDescent="0.2">
      <c r="C6352" s="180"/>
    </row>
    <row r="6353" spans="3:3" s="181" customFormat="1" hidden="1" x14ac:dyDescent="0.2">
      <c r="C6353" s="180"/>
    </row>
    <row r="6354" spans="3:3" s="181" customFormat="1" hidden="1" x14ac:dyDescent="0.2">
      <c r="C6354" s="180"/>
    </row>
    <row r="6355" spans="3:3" s="181" customFormat="1" hidden="1" x14ac:dyDescent="0.2">
      <c r="C6355" s="180"/>
    </row>
    <row r="6356" spans="3:3" s="181" customFormat="1" hidden="1" x14ac:dyDescent="0.2">
      <c r="C6356" s="180"/>
    </row>
    <row r="6357" spans="3:3" s="181" customFormat="1" hidden="1" x14ac:dyDescent="0.2">
      <c r="C6357" s="180"/>
    </row>
    <row r="6358" spans="3:3" s="181" customFormat="1" hidden="1" x14ac:dyDescent="0.2">
      <c r="C6358" s="180"/>
    </row>
    <row r="6359" spans="3:3" s="181" customFormat="1" hidden="1" x14ac:dyDescent="0.2">
      <c r="C6359" s="180"/>
    </row>
    <row r="6360" spans="3:3" s="181" customFormat="1" hidden="1" x14ac:dyDescent="0.2">
      <c r="C6360" s="180"/>
    </row>
    <row r="6361" spans="3:3" s="181" customFormat="1" hidden="1" x14ac:dyDescent="0.2">
      <c r="C6361" s="180"/>
    </row>
    <row r="6362" spans="3:3" s="181" customFormat="1" hidden="1" x14ac:dyDescent="0.2">
      <c r="C6362" s="180"/>
    </row>
    <row r="6363" spans="3:3" s="181" customFormat="1" hidden="1" x14ac:dyDescent="0.2">
      <c r="C6363" s="180"/>
    </row>
    <row r="6364" spans="3:3" s="181" customFormat="1" hidden="1" x14ac:dyDescent="0.2">
      <c r="C6364" s="180"/>
    </row>
    <row r="6365" spans="3:3" s="181" customFormat="1" hidden="1" x14ac:dyDescent="0.2">
      <c r="C6365" s="180"/>
    </row>
    <row r="6366" spans="3:3" s="181" customFormat="1" hidden="1" x14ac:dyDescent="0.2">
      <c r="C6366" s="180"/>
    </row>
    <row r="6367" spans="3:3" s="181" customFormat="1" hidden="1" x14ac:dyDescent="0.2">
      <c r="C6367" s="180"/>
    </row>
    <row r="6368" spans="3:3" s="181" customFormat="1" hidden="1" x14ac:dyDescent="0.2">
      <c r="C6368" s="180"/>
    </row>
    <row r="6369" spans="3:3" s="181" customFormat="1" hidden="1" x14ac:dyDescent="0.2">
      <c r="C6369" s="180"/>
    </row>
    <row r="6370" spans="3:3" s="181" customFormat="1" hidden="1" x14ac:dyDescent="0.2">
      <c r="C6370" s="180"/>
    </row>
    <row r="6371" spans="3:3" s="181" customFormat="1" hidden="1" x14ac:dyDescent="0.2">
      <c r="C6371" s="180"/>
    </row>
    <row r="6372" spans="3:3" s="181" customFormat="1" hidden="1" x14ac:dyDescent="0.2">
      <c r="C6372" s="180"/>
    </row>
    <row r="6373" spans="3:3" s="181" customFormat="1" hidden="1" x14ac:dyDescent="0.2">
      <c r="C6373" s="180"/>
    </row>
    <row r="6374" spans="3:3" s="181" customFormat="1" hidden="1" x14ac:dyDescent="0.2">
      <c r="C6374" s="180"/>
    </row>
    <row r="6375" spans="3:3" s="181" customFormat="1" hidden="1" x14ac:dyDescent="0.2">
      <c r="C6375" s="180"/>
    </row>
    <row r="6376" spans="3:3" s="181" customFormat="1" hidden="1" x14ac:dyDescent="0.2">
      <c r="C6376" s="180"/>
    </row>
    <row r="6377" spans="3:3" s="181" customFormat="1" hidden="1" x14ac:dyDescent="0.2">
      <c r="C6377" s="180"/>
    </row>
    <row r="6378" spans="3:3" s="181" customFormat="1" hidden="1" x14ac:dyDescent="0.2">
      <c r="C6378" s="180"/>
    </row>
    <row r="6379" spans="3:3" s="181" customFormat="1" hidden="1" x14ac:dyDescent="0.2">
      <c r="C6379" s="180"/>
    </row>
    <row r="6380" spans="3:3" s="181" customFormat="1" hidden="1" x14ac:dyDescent="0.2">
      <c r="C6380" s="180"/>
    </row>
    <row r="6381" spans="3:3" s="181" customFormat="1" hidden="1" x14ac:dyDescent="0.2">
      <c r="C6381" s="180"/>
    </row>
    <row r="6382" spans="3:3" s="181" customFormat="1" hidden="1" x14ac:dyDescent="0.2">
      <c r="C6382" s="180"/>
    </row>
    <row r="6383" spans="3:3" s="181" customFormat="1" hidden="1" x14ac:dyDescent="0.2">
      <c r="C6383" s="180"/>
    </row>
    <row r="6384" spans="3:3" s="181" customFormat="1" hidden="1" x14ac:dyDescent="0.2">
      <c r="C6384" s="180"/>
    </row>
    <row r="6385" spans="3:3" s="181" customFormat="1" hidden="1" x14ac:dyDescent="0.2">
      <c r="C6385" s="180"/>
    </row>
    <row r="6386" spans="3:3" s="181" customFormat="1" hidden="1" x14ac:dyDescent="0.2">
      <c r="C6386" s="180"/>
    </row>
    <row r="6387" spans="3:3" s="181" customFormat="1" hidden="1" x14ac:dyDescent="0.2">
      <c r="C6387" s="180"/>
    </row>
    <row r="6388" spans="3:3" s="181" customFormat="1" hidden="1" x14ac:dyDescent="0.2">
      <c r="C6388" s="180"/>
    </row>
    <row r="6389" spans="3:3" s="181" customFormat="1" hidden="1" x14ac:dyDescent="0.2">
      <c r="C6389" s="180"/>
    </row>
    <row r="6390" spans="3:3" s="181" customFormat="1" hidden="1" x14ac:dyDescent="0.2">
      <c r="C6390" s="180"/>
    </row>
    <row r="6391" spans="3:3" s="181" customFormat="1" hidden="1" x14ac:dyDescent="0.2">
      <c r="C6391" s="180"/>
    </row>
    <row r="6392" spans="3:3" s="181" customFormat="1" hidden="1" x14ac:dyDescent="0.2">
      <c r="C6392" s="180"/>
    </row>
    <row r="6393" spans="3:3" s="181" customFormat="1" hidden="1" x14ac:dyDescent="0.2">
      <c r="C6393" s="180"/>
    </row>
    <row r="6394" spans="3:3" s="181" customFormat="1" hidden="1" x14ac:dyDescent="0.2">
      <c r="C6394" s="180"/>
    </row>
    <row r="6395" spans="3:3" s="181" customFormat="1" hidden="1" x14ac:dyDescent="0.2">
      <c r="C6395" s="180"/>
    </row>
    <row r="6396" spans="3:3" s="181" customFormat="1" hidden="1" x14ac:dyDescent="0.2">
      <c r="C6396" s="180"/>
    </row>
    <row r="6397" spans="3:3" s="181" customFormat="1" hidden="1" x14ac:dyDescent="0.2">
      <c r="C6397" s="180"/>
    </row>
    <row r="6398" spans="3:3" s="181" customFormat="1" hidden="1" x14ac:dyDescent="0.2">
      <c r="C6398" s="180"/>
    </row>
    <row r="6399" spans="3:3" s="181" customFormat="1" hidden="1" x14ac:dyDescent="0.2">
      <c r="C6399" s="180"/>
    </row>
    <row r="6400" spans="3:3" s="181" customFormat="1" hidden="1" x14ac:dyDescent="0.2">
      <c r="C6400" s="180"/>
    </row>
    <row r="6401" spans="3:3" s="181" customFormat="1" hidden="1" x14ac:dyDescent="0.2">
      <c r="C6401" s="180"/>
    </row>
    <row r="6402" spans="3:3" s="181" customFormat="1" hidden="1" x14ac:dyDescent="0.2">
      <c r="C6402" s="180"/>
    </row>
    <row r="6403" spans="3:3" s="181" customFormat="1" hidden="1" x14ac:dyDescent="0.2">
      <c r="C6403" s="180"/>
    </row>
    <row r="6404" spans="3:3" s="181" customFormat="1" hidden="1" x14ac:dyDescent="0.2">
      <c r="C6404" s="180"/>
    </row>
    <row r="6405" spans="3:3" s="181" customFormat="1" hidden="1" x14ac:dyDescent="0.2">
      <c r="C6405" s="180"/>
    </row>
    <row r="6406" spans="3:3" s="181" customFormat="1" hidden="1" x14ac:dyDescent="0.2">
      <c r="C6406" s="180"/>
    </row>
    <row r="6407" spans="3:3" s="181" customFormat="1" hidden="1" x14ac:dyDescent="0.2">
      <c r="C6407" s="180"/>
    </row>
    <row r="6408" spans="3:3" s="181" customFormat="1" hidden="1" x14ac:dyDescent="0.2">
      <c r="C6408" s="180"/>
    </row>
    <row r="6409" spans="3:3" s="181" customFormat="1" hidden="1" x14ac:dyDescent="0.2">
      <c r="C6409" s="180"/>
    </row>
    <row r="6410" spans="3:3" s="181" customFormat="1" hidden="1" x14ac:dyDescent="0.2">
      <c r="C6410" s="180"/>
    </row>
    <row r="6411" spans="3:3" s="181" customFormat="1" hidden="1" x14ac:dyDescent="0.2">
      <c r="C6411" s="180"/>
    </row>
    <row r="6412" spans="3:3" s="181" customFormat="1" hidden="1" x14ac:dyDescent="0.2">
      <c r="C6412" s="180"/>
    </row>
    <row r="6413" spans="3:3" s="181" customFormat="1" hidden="1" x14ac:dyDescent="0.2">
      <c r="C6413" s="180"/>
    </row>
    <row r="6414" spans="3:3" s="181" customFormat="1" hidden="1" x14ac:dyDescent="0.2">
      <c r="C6414" s="180"/>
    </row>
    <row r="6415" spans="3:3" s="181" customFormat="1" hidden="1" x14ac:dyDescent="0.2">
      <c r="C6415" s="180"/>
    </row>
    <row r="6416" spans="3:3" s="181" customFormat="1" hidden="1" x14ac:dyDescent="0.2">
      <c r="C6416" s="180"/>
    </row>
    <row r="6417" spans="3:3" s="181" customFormat="1" hidden="1" x14ac:dyDescent="0.2">
      <c r="C6417" s="180"/>
    </row>
    <row r="6418" spans="3:3" s="181" customFormat="1" hidden="1" x14ac:dyDescent="0.2">
      <c r="C6418" s="180"/>
    </row>
    <row r="6419" spans="3:3" s="181" customFormat="1" hidden="1" x14ac:dyDescent="0.2">
      <c r="C6419" s="180"/>
    </row>
    <row r="6420" spans="3:3" s="181" customFormat="1" hidden="1" x14ac:dyDescent="0.2">
      <c r="C6420" s="180"/>
    </row>
    <row r="6421" spans="3:3" s="181" customFormat="1" hidden="1" x14ac:dyDescent="0.2">
      <c r="C6421" s="180"/>
    </row>
    <row r="6422" spans="3:3" s="181" customFormat="1" hidden="1" x14ac:dyDescent="0.2">
      <c r="C6422" s="180"/>
    </row>
    <row r="6423" spans="3:3" s="181" customFormat="1" hidden="1" x14ac:dyDescent="0.2">
      <c r="C6423" s="180"/>
    </row>
    <row r="6424" spans="3:3" s="181" customFormat="1" hidden="1" x14ac:dyDescent="0.2">
      <c r="C6424" s="180"/>
    </row>
    <row r="6425" spans="3:3" s="181" customFormat="1" hidden="1" x14ac:dyDescent="0.2">
      <c r="C6425" s="180"/>
    </row>
    <row r="6426" spans="3:3" s="181" customFormat="1" hidden="1" x14ac:dyDescent="0.2">
      <c r="C6426" s="180"/>
    </row>
    <row r="6427" spans="3:3" s="181" customFormat="1" hidden="1" x14ac:dyDescent="0.2">
      <c r="C6427" s="180"/>
    </row>
    <row r="6428" spans="3:3" s="181" customFormat="1" hidden="1" x14ac:dyDescent="0.2">
      <c r="C6428" s="180"/>
    </row>
    <row r="6429" spans="3:3" s="181" customFormat="1" hidden="1" x14ac:dyDescent="0.2">
      <c r="C6429" s="180"/>
    </row>
    <row r="6430" spans="3:3" s="181" customFormat="1" hidden="1" x14ac:dyDescent="0.2">
      <c r="C6430" s="180"/>
    </row>
    <row r="6431" spans="3:3" s="181" customFormat="1" hidden="1" x14ac:dyDescent="0.2">
      <c r="C6431" s="180"/>
    </row>
    <row r="6432" spans="3:3" s="181" customFormat="1" hidden="1" x14ac:dyDescent="0.2">
      <c r="C6432" s="180"/>
    </row>
    <row r="6433" spans="3:3" s="181" customFormat="1" hidden="1" x14ac:dyDescent="0.2">
      <c r="C6433" s="180"/>
    </row>
    <row r="6434" spans="3:3" s="181" customFormat="1" hidden="1" x14ac:dyDescent="0.2">
      <c r="C6434" s="180"/>
    </row>
    <row r="6435" spans="3:3" s="181" customFormat="1" hidden="1" x14ac:dyDescent="0.2">
      <c r="C6435" s="180"/>
    </row>
    <row r="6436" spans="3:3" s="181" customFormat="1" hidden="1" x14ac:dyDescent="0.2">
      <c r="C6436" s="180"/>
    </row>
    <row r="6437" spans="3:3" s="181" customFormat="1" hidden="1" x14ac:dyDescent="0.2">
      <c r="C6437" s="180"/>
    </row>
    <row r="6438" spans="3:3" s="181" customFormat="1" hidden="1" x14ac:dyDescent="0.2">
      <c r="C6438" s="180"/>
    </row>
    <row r="6439" spans="3:3" s="181" customFormat="1" hidden="1" x14ac:dyDescent="0.2">
      <c r="C6439" s="180"/>
    </row>
    <row r="6440" spans="3:3" s="181" customFormat="1" hidden="1" x14ac:dyDescent="0.2">
      <c r="C6440" s="180"/>
    </row>
    <row r="6441" spans="3:3" s="181" customFormat="1" hidden="1" x14ac:dyDescent="0.2">
      <c r="C6441" s="180"/>
    </row>
    <row r="6442" spans="3:3" s="181" customFormat="1" hidden="1" x14ac:dyDescent="0.2">
      <c r="C6442" s="180"/>
    </row>
    <row r="6443" spans="3:3" s="181" customFormat="1" hidden="1" x14ac:dyDescent="0.2">
      <c r="C6443" s="180"/>
    </row>
    <row r="6444" spans="3:3" s="181" customFormat="1" hidden="1" x14ac:dyDescent="0.2">
      <c r="C6444" s="180"/>
    </row>
    <row r="6445" spans="3:3" s="181" customFormat="1" hidden="1" x14ac:dyDescent="0.2">
      <c r="C6445" s="180"/>
    </row>
    <row r="6446" spans="3:3" s="181" customFormat="1" hidden="1" x14ac:dyDescent="0.2">
      <c r="C6446" s="180"/>
    </row>
    <row r="6447" spans="3:3" s="181" customFormat="1" hidden="1" x14ac:dyDescent="0.2">
      <c r="C6447" s="180"/>
    </row>
    <row r="6448" spans="3:3" s="181" customFormat="1" hidden="1" x14ac:dyDescent="0.2">
      <c r="C6448" s="180"/>
    </row>
    <row r="6449" spans="3:3" s="181" customFormat="1" hidden="1" x14ac:dyDescent="0.2">
      <c r="C6449" s="180"/>
    </row>
    <row r="6450" spans="3:3" s="181" customFormat="1" hidden="1" x14ac:dyDescent="0.2">
      <c r="C6450" s="180"/>
    </row>
    <row r="6451" spans="3:3" s="181" customFormat="1" hidden="1" x14ac:dyDescent="0.2">
      <c r="C6451" s="180"/>
    </row>
    <row r="6452" spans="3:3" s="181" customFormat="1" hidden="1" x14ac:dyDescent="0.2">
      <c r="C6452" s="180"/>
    </row>
    <row r="6453" spans="3:3" s="181" customFormat="1" hidden="1" x14ac:dyDescent="0.2">
      <c r="C6453" s="180"/>
    </row>
    <row r="6454" spans="3:3" s="181" customFormat="1" hidden="1" x14ac:dyDescent="0.2">
      <c r="C6454" s="180"/>
    </row>
    <row r="6455" spans="3:3" s="181" customFormat="1" hidden="1" x14ac:dyDescent="0.2">
      <c r="C6455" s="180"/>
    </row>
    <row r="6456" spans="3:3" s="181" customFormat="1" hidden="1" x14ac:dyDescent="0.2">
      <c r="C6456" s="180"/>
    </row>
    <row r="6457" spans="3:3" s="181" customFormat="1" hidden="1" x14ac:dyDescent="0.2">
      <c r="C6457" s="180"/>
    </row>
    <row r="6458" spans="3:3" s="181" customFormat="1" hidden="1" x14ac:dyDescent="0.2">
      <c r="C6458" s="180"/>
    </row>
    <row r="6459" spans="3:3" s="181" customFormat="1" hidden="1" x14ac:dyDescent="0.2">
      <c r="C6459" s="180"/>
    </row>
    <row r="6460" spans="3:3" s="181" customFormat="1" hidden="1" x14ac:dyDescent="0.2">
      <c r="C6460" s="180"/>
    </row>
    <row r="6461" spans="3:3" s="181" customFormat="1" hidden="1" x14ac:dyDescent="0.2">
      <c r="C6461" s="180"/>
    </row>
    <row r="6462" spans="3:3" s="181" customFormat="1" hidden="1" x14ac:dyDescent="0.2">
      <c r="C6462" s="180"/>
    </row>
    <row r="6463" spans="3:3" s="181" customFormat="1" hidden="1" x14ac:dyDescent="0.2">
      <c r="C6463" s="180"/>
    </row>
    <row r="6464" spans="3:3" s="181" customFormat="1" hidden="1" x14ac:dyDescent="0.2">
      <c r="C6464" s="180"/>
    </row>
    <row r="6465" spans="3:3" s="181" customFormat="1" hidden="1" x14ac:dyDescent="0.2">
      <c r="C6465" s="180"/>
    </row>
    <row r="6466" spans="3:3" s="181" customFormat="1" hidden="1" x14ac:dyDescent="0.2">
      <c r="C6466" s="180"/>
    </row>
    <row r="6467" spans="3:3" s="181" customFormat="1" hidden="1" x14ac:dyDescent="0.2">
      <c r="C6467" s="180"/>
    </row>
    <row r="6468" spans="3:3" s="181" customFormat="1" hidden="1" x14ac:dyDescent="0.2">
      <c r="C6468" s="180"/>
    </row>
    <row r="6469" spans="3:3" s="181" customFormat="1" hidden="1" x14ac:dyDescent="0.2">
      <c r="C6469" s="180"/>
    </row>
    <row r="6470" spans="3:3" s="181" customFormat="1" hidden="1" x14ac:dyDescent="0.2">
      <c r="C6470" s="180"/>
    </row>
    <row r="6471" spans="3:3" s="181" customFormat="1" hidden="1" x14ac:dyDescent="0.2">
      <c r="C6471" s="180"/>
    </row>
    <row r="6472" spans="3:3" s="181" customFormat="1" hidden="1" x14ac:dyDescent="0.2">
      <c r="C6472" s="180"/>
    </row>
    <row r="6473" spans="3:3" s="181" customFormat="1" hidden="1" x14ac:dyDescent="0.2">
      <c r="C6473" s="180"/>
    </row>
    <row r="6474" spans="3:3" s="181" customFormat="1" hidden="1" x14ac:dyDescent="0.2">
      <c r="C6474" s="180"/>
    </row>
    <row r="6475" spans="3:3" s="181" customFormat="1" hidden="1" x14ac:dyDescent="0.2">
      <c r="C6475" s="180"/>
    </row>
    <row r="6476" spans="3:3" s="181" customFormat="1" hidden="1" x14ac:dyDescent="0.2">
      <c r="C6476" s="180"/>
    </row>
    <row r="6477" spans="3:3" s="181" customFormat="1" hidden="1" x14ac:dyDescent="0.2">
      <c r="C6477" s="180"/>
    </row>
    <row r="6478" spans="3:3" s="181" customFormat="1" hidden="1" x14ac:dyDescent="0.2">
      <c r="C6478" s="180"/>
    </row>
    <row r="6479" spans="3:3" s="181" customFormat="1" hidden="1" x14ac:dyDescent="0.2">
      <c r="C6479" s="180"/>
    </row>
    <row r="6480" spans="3:3" s="181" customFormat="1" hidden="1" x14ac:dyDescent="0.2">
      <c r="C6480" s="180"/>
    </row>
    <row r="6481" spans="3:3" s="181" customFormat="1" hidden="1" x14ac:dyDescent="0.2">
      <c r="C6481" s="180"/>
    </row>
    <row r="6482" spans="3:3" s="181" customFormat="1" hidden="1" x14ac:dyDescent="0.2">
      <c r="C6482" s="180"/>
    </row>
    <row r="6483" spans="3:3" s="181" customFormat="1" hidden="1" x14ac:dyDescent="0.2">
      <c r="C6483" s="180"/>
    </row>
    <row r="6484" spans="3:3" s="181" customFormat="1" hidden="1" x14ac:dyDescent="0.2">
      <c r="C6484" s="180"/>
    </row>
    <row r="6485" spans="3:3" s="181" customFormat="1" hidden="1" x14ac:dyDescent="0.2">
      <c r="C6485" s="180"/>
    </row>
    <row r="6486" spans="3:3" s="181" customFormat="1" hidden="1" x14ac:dyDescent="0.2">
      <c r="C6486" s="180"/>
    </row>
    <row r="6487" spans="3:3" s="181" customFormat="1" hidden="1" x14ac:dyDescent="0.2">
      <c r="C6487" s="180"/>
    </row>
    <row r="6488" spans="3:3" s="181" customFormat="1" hidden="1" x14ac:dyDescent="0.2">
      <c r="C6488" s="180"/>
    </row>
    <row r="6489" spans="3:3" s="181" customFormat="1" hidden="1" x14ac:dyDescent="0.2">
      <c r="C6489" s="180"/>
    </row>
    <row r="6490" spans="3:3" s="181" customFormat="1" hidden="1" x14ac:dyDescent="0.2">
      <c r="C6490" s="180"/>
    </row>
    <row r="6491" spans="3:3" s="181" customFormat="1" hidden="1" x14ac:dyDescent="0.2">
      <c r="C6491" s="180"/>
    </row>
    <row r="6492" spans="3:3" s="181" customFormat="1" hidden="1" x14ac:dyDescent="0.2">
      <c r="C6492" s="180"/>
    </row>
    <row r="6493" spans="3:3" s="181" customFormat="1" hidden="1" x14ac:dyDescent="0.2">
      <c r="C6493" s="180"/>
    </row>
    <row r="6494" spans="3:3" s="181" customFormat="1" hidden="1" x14ac:dyDescent="0.2">
      <c r="C6494" s="180"/>
    </row>
    <row r="6495" spans="3:3" s="181" customFormat="1" hidden="1" x14ac:dyDescent="0.2">
      <c r="C6495" s="180"/>
    </row>
    <row r="6496" spans="3:3" s="181" customFormat="1" hidden="1" x14ac:dyDescent="0.2">
      <c r="C6496" s="180"/>
    </row>
    <row r="6497" spans="3:3" s="181" customFormat="1" hidden="1" x14ac:dyDescent="0.2">
      <c r="C6497" s="180"/>
    </row>
    <row r="6498" spans="3:3" s="181" customFormat="1" hidden="1" x14ac:dyDescent="0.2">
      <c r="C6498" s="180"/>
    </row>
    <row r="6499" spans="3:3" s="181" customFormat="1" hidden="1" x14ac:dyDescent="0.2">
      <c r="C6499" s="180"/>
    </row>
    <row r="6500" spans="3:3" s="181" customFormat="1" hidden="1" x14ac:dyDescent="0.2">
      <c r="C6500" s="180"/>
    </row>
    <row r="6501" spans="3:3" s="181" customFormat="1" hidden="1" x14ac:dyDescent="0.2">
      <c r="C6501" s="180"/>
    </row>
    <row r="6502" spans="3:3" s="181" customFormat="1" hidden="1" x14ac:dyDescent="0.2">
      <c r="C6502" s="180"/>
    </row>
    <row r="6503" spans="3:3" s="181" customFormat="1" hidden="1" x14ac:dyDescent="0.2">
      <c r="C6503" s="180"/>
    </row>
    <row r="6504" spans="3:3" s="181" customFormat="1" hidden="1" x14ac:dyDescent="0.2">
      <c r="C6504" s="180"/>
    </row>
    <row r="6505" spans="3:3" s="181" customFormat="1" hidden="1" x14ac:dyDescent="0.2">
      <c r="C6505" s="180"/>
    </row>
    <row r="6506" spans="3:3" s="181" customFormat="1" hidden="1" x14ac:dyDescent="0.2">
      <c r="C6506" s="180"/>
    </row>
    <row r="6507" spans="3:3" s="181" customFormat="1" hidden="1" x14ac:dyDescent="0.2">
      <c r="C6507" s="180"/>
    </row>
    <row r="6508" spans="3:3" s="181" customFormat="1" hidden="1" x14ac:dyDescent="0.2">
      <c r="C6508" s="180"/>
    </row>
    <row r="6509" spans="3:3" s="181" customFormat="1" hidden="1" x14ac:dyDescent="0.2">
      <c r="C6509" s="180"/>
    </row>
    <row r="6510" spans="3:3" s="181" customFormat="1" hidden="1" x14ac:dyDescent="0.2">
      <c r="C6510" s="180"/>
    </row>
    <row r="6511" spans="3:3" s="181" customFormat="1" hidden="1" x14ac:dyDescent="0.2">
      <c r="C6511" s="180"/>
    </row>
    <row r="6512" spans="3:3" s="181" customFormat="1" hidden="1" x14ac:dyDescent="0.2">
      <c r="C6512" s="180"/>
    </row>
    <row r="6513" spans="3:3" s="181" customFormat="1" hidden="1" x14ac:dyDescent="0.2">
      <c r="C6513" s="180"/>
    </row>
    <row r="6514" spans="3:3" s="181" customFormat="1" hidden="1" x14ac:dyDescent="0.2">
      <c r="C6514" s="180"/>
    </row>
    <row r="6515" spans="3:3" s="181" customFormat="1" hidden="1" x14ac:dyDescent="0.2">
      <c r="C6515" s="180"/>
    </row>
    <row r="6516" spans="3:3" s="181" customFormat="1" hidden="1" x14ac:dyDescent="0.2">
      <c r="C6516" s="180"/>
    </row>
    <row r="6517" spans="3:3" s="181" customFormat="1" hidden="1" x14ac:dyDescent="0.2">
      <c r="C6517" s="180"/>
    </row>
    <row r="6518" spans="3:3" s="181" customFormat="1" hidden="1" x14ac:dyDescent="0.2">
      <c r="C6518" s="180"/>
    </row>
    <row r="6519" spans="3:3" s="181" customFormat="1" hidden="1" x14ac:dyDescent="0.2">
      <c r="C6519" s="180"/>
    </row>
    <row r="6520" spans="3:3" s="181" customFormat="1" hidden="1" x14ac:dyDescent="0.2">
      <c r="C6520" s="180"/>
    </row>
    <row r="6521" spans="3:3" s="181" customFormat="1" hidden="1" x14ac:dyDescent="0.2">
      <c r="C6521" s="180"/>
    </row>
    <row r="6522" spans="3:3" s="181" customFormat="1" hidden="1" x14ac:dyDescent="0.2">
      <c r="C6522" s="180"/>
    </row>
    <row r="6523" spans="3:3" s="181" customFormat="1" hidden="1" x14ac:dyDescent="0.2">
      <c r="C6523" s="180"/>
    </row>
    <row r="6524" spans="3:3" s="181" customFormat="1" hidden="1" x14ac:dyDescent="0.2">
      <c r="C6524" s="180"/>
    </row>
    <row r="6525" spans="3:3" s="181" customFormat="1" hidden="1" x14ac:dyDescent="0.2">
      <c r="C6525" s="180"/>
    </row>
    <row r="6526" spans="3:3" s="181" customFormat="1" hidden="1" x14ac:dyDescent="0.2">
      <c r="C6526" s="180"/>
    </row>
    <row r="6527" spans="3:3" s="181" customFormat="1" hidden="1" x14ac:dyDescent="0.2">
      <c r="C6527" s="180"/>
    </row>
    <row r="6528" spans="3:3" s="181" customFormat="1" hidden="1" x14ac:dyDescent="0.2">
      <c r="C6528" s="180"/>
    </row>
    <row r="6529" spans="3:3" s="181" customFormat="1" hidden="1" x14ac:dyDescent="0.2">
      <c r="C6529" s="180"/>
    </row>
    <row r="6530" spans="3:3" s="181" customFormat="1" hidden="1" x14ac:dyDescent="0.2">
      <c r="C6530" s="180"/>
    </row>
    <row r="6531" spans="3:3" s="181" customFormat="1" hidden="1" x14ac:dyDescent="0.2">
      <c r="C6531" s="180"/>
    </row>
    <row r="6532" spans="3:3" s="181" customFormat="1" hidden="1" x14ac:dyDescent="0.2">
      <c r="C6532" s="180"/>
    </row>
    <row r="6533" spans="3:3" s="181" customFormat="1" hidden="1" x14ac:dyDescent="0.2">
      <c r="C6533" s="180"/>
    </row>
    <row r="6534" spans="3:3" s="181" customFormat="1" hidden="1" x14ac:dyDescent="0.2">
      <c r="C6534" s="180"/>
    </row>
    <row r="6535" spans="3:3" s="181" customFormat="1" hidden="1" x14ac:dyDescent="0.2">
      <c r="C6535" s="180"/>
    </row>
    <row r="6536" spans="3:3" s="181" customFormat="1" hidden="1" x14ac:dyDescent="0.2">
      <c r="C6536" s="180"/>
    </row>
    <row r="6537" spans="3:3" s="181" customFormat="1" hidden="1" x14ac:dyDescent="0.2">
      <c r="C6537" s="180"/>
    </row>
    <row r="6538" spans="3:3" s="181" customFormat="1" hidden="1" x14ac:dyDescent="0.2">
      <c r="C6538" s="180"/>
    </row>
    <row r="6539" spans="3:3" s="181" customFormat="1" hidden="1" x14ac:dyDescent="0.2">
      <c r="C6539" s="180"/>
    </row>
    <row r="6540" spans="3:3" s="181" customFormat="1" hidden="1" x14ac:dyDescent="0.2">
      <c r="C6540" s="180"/>
    </row>
    <row r="6541" spans="3:3" s="181" customFormat="1" hidden="1" x14ac:dyDescent="0.2">
      <c r="C6541" s="180"/>
    </row>
    <row r="6542" spans="3:3" s="181" customFormat="1" hidden="1" x14ac:dyDescent="0.2">
      <c r="C6542" s="180"/>
    </row>
    <row r="6543" spans="3:3" s="181" customFormat="1" hidden="1" x14ac:dyDescent="0.2">
      <c r="C6543" s="180"/>
    </row>
    <row r="6544" spans="3:3" s="181" customFormat="1" hidden="1" x14ac:dyDescent="0.2">
      <c r="C6544" s="180"/>
    </row>
    <row r="6545" spans="3:3" s="181" customFormat="1" hidden="1" x14ac:dyDescent="0.2">
      <c r="C6545" s="180"/>
    </row>
    <row r="6546" spans="3:3" s="181" customFormat="1" hidden="1" x14ac:dyDescent="0.2">
      <c r="C6546" s="180"/>
    </row>
    <row r="6547" spans="3:3" s="181" customFormat="1" hidden="1" x14ac:dyDescent="0.2">
      <c r="C6547" s="180"/>
    </row>
    <row r="6548" spans="3:3" s="181" customFormat="1" hidden="1" x14ac:dyDescent="0.2">
      <c r="C6548" s="180"/>
    </row>
    <row r="6549" spans="3:3" s="181" customFormat="1" hidden="1" x14ac:dyDescent="0.2">
      <c r="C6549" s="180"/>
    </row>
    <row r="6550" spans="3:3" s="181" customFormat="1" hidden="1" x14ac:dyDescent="0.2">
      <c r="C6550" s="180"/>
    </row>
    <row r="6551" spans="3:3" s="181" customFormat="1" hidden="1" x14ac:dyDescent="0.2">
      <c r="C6551" s="180"/>
    </row>
    <row r="6552" spans="3:3" s="181" customFormat="1" hidden="1" x14ac:dyDescent="0.2">
      <c r="C6552" s="180"/>
    </row>
    <row r="6553" spans="3:3" s="181" customFormat="1" hidden="1" x14ac:dyDescent="0.2">
      <c r="C6553" s="180"/>
    </row>
    <row r="6554" spans="3:3" s="181" customFormat="1" hidden="1" x14ac:dyDescent="0.2">
      <c r="C6554" s="180"/>
    </row>
    <row r="6555" spans="3:3" s="181" customFormat="1" hidden="1" x14ac:dyDescent="0.2">
      <c r="C6555" s="180"/>
    </row>
    <row r="6556" spans="3:3" s="181" customFormat="1" hidden="1" x14ac:dyDescent="0.2">
      <c r="C6556" s="180"/>
    </row>
    <row r="6557" spans="3:3" s="181" customFormat="1" hidden="1" x14ac:dyDescent="0.2">
      <c r="C6557" s="180"/>
    </row>
    <row r="6558" spans="3:3" s="181" customFormat="1" hidden="1" x14ac:dyDescent="0.2">
      <c r="C6558" s="180"/>
    </row>
    <row r="6559" spans="3:3" s="181" customFormat="1" hidden="1" x14ac:dyDescent="0.2">
      <c r="C6559" s="180"/>
    </row>
    <row r="6560" spans="3:3" s="181" customFormat="1" hidden="1" x14ac:dyDescent="0.2">
      <c r="C6560" s="180"/>
    </row>
    <row r="6561" spans="3:3" s="181" customFormat="1" hidden="1" x14ac:dyDescent="0.2">
      <c r="C6561" s="180"/>
    </row>
    <row r="6562" spans="3:3" s="181" customFormat="1" hidden="1" x14ac:dyDescent="0.2">
      <c r="C6562" s="180"/>
    </row>
    <row r="6563" spans="3:3" s="181" customFormat="1" hidden="1" x14ac:dyDescent="0.2">
      <c r="C6563" s="180"/>
    </row>
    <row r="6564" spans="3:3" s="181" customFormat="1" hidden="1" x14ac:dyDescent="0.2">
      <c r="C6564" s="180"/>
    </row>
    <row r="6565" spans="3:3" s="181" customFormat="1" hidden="1" x14ac:dyDescent="0.2">
      <c r="C6565" s="180"/>
    </row>
    <row r="6566" spans="3:3" s="181" customFormat="1" hidden="1" x14ac:dyDescent="0.2">
      <c r="C6566" s="180"/>
    </row>
    <row r="6567" spans="3:3" s="181" customFormat="1" hidden="1" x14ac:dyDescent="0.2">
      <c r="C6567" s="180"/>
    </row>
    <row r="6568" spans="3:3" s="181" customFormat="1" hidden="1" x14ac:dyDescent="0.2">
      <c r="C6568" s="180"/>
    </row>
    <row r="6569" spans="3:3" s="181" customFormat="1" hidden="1" x14ac:dyDescent="0.2">
      <c r="C6569" s="180"/>
    </row>
    <row r="6570" spans="3:3" s="181" customFormat="1" hidden="1" x14ac:dyDescent="0.2">
      <c r="C6570" s="180"/>
    </row>
    <row r="6571" spans="3:3" s="181" customFormat="1" hidden="1" x14ac:dyDescent="0.2">
      <c r="C6571" s="180"/>
    </row>
    <row r="6572" spans="3:3" s="181" customFormat="1" hidden="1" x14ac:dyDescent="0.2">
      <c r="C6572" s="180"/>
    </row>
    <row r="6573" spans="3:3" s="181" customFormat="1" hidden="1" x14ac:dyDescent="0.2">
      <c r="C6573" s="180"/>
    </row>
    <row r="6574" spans="3:3" s="181" customFormat="1" hidden="1" x14ac:dyDescent="0.2">
      <c r="C6574" s="180"/>
    </row>
    <row r="6575" spans="3:3" s="181" customFormat="1" hidden="1" x14ac:dyDescent="0.2">
      <c r="C6575" s="180"/>
    </row>
    <row r="6576" spans="3:3" s="181" customFormat="1" hidden="1" x14ac:dyDescent="0.2">
      <c r="C6576" s="180"/>
    </row>
    <row r="6577" spans="3:3" s="181" customFormat="1" hidden="1" x14ac:dyDescent="0.2">
      <c r="C6577" s="180"/>
    </row>
    <row r="6578" spans="3:3" s="181" customFormat="1" hidden="1" x14ac:dyDescent="0.2">
      <c r="C6578" s="180"/>
    </row>
    <row r="6579" spans="3:3" s="181" customFormat="1" hidden="1" x14ac:dyDescent="0.2">
      <c r="C6579" s="180"/>
    </row>
    <row r="6580" spans="3:3" s="181" customFormat="1" hidden="1" x14ac:dyDescent="0.2">
      <c r="C6580" s="180"/>
    </row>
    <row r="6581" spans="3:3" s="181" customFormat="1" hidden="1" x14ac:dyDescent="0.2">
      <c r="C6581" s="180"/>
    </row>
    <row r="6582" spans="3:3" s="181" customFormat="1" hidden="1" x14ac:dyDescent="0.2">
      <c r="C6582" s="180"/>
    </row>
    <row r="6583" spans="3:3" s="181" customFormat="1" hidden="1" x14ac:dyDescent="0.2">
      <c r="C6583" s="180"/>
    </row>
    <row r="6584" spans="3:3" s="181" customFormat="1" hidden="1" x14ac:dyDescent="0.2">
      <c r="C6584" s="180"/>
    </row>
    <row r="6585" spans="3:3" s="181" customFormat="1" hidden="1" x14ac:dyDescent="0.2">
      <c r="C6585" s="180"/>
    </row>
    <row r="6586" spans="3:3" s="181" customFormat="1" hidden="1" x14ac:dyDescent="0.2">
      <c r="C6586" s="180"/>
    </row>
    <row r="6587" spans="3:3" s="181" customFormat="1" hidden="1" x14ac:dyDescent="0.2">
      <c r="C6587" s="180"/>
    </row>
    <row r="6588" spans="3:3" s="181" customFormat="1" hidden="1" x14ac:dyDescent="0.2">
      <c r="C6588" s="180"/>
    </row>
    <row r="6589" spans="3:3" s="181" customFormat="1" hidden="1" x14ac:dyDescent="0.2">
      <c r="C6589" s="180"/>
    </row>
    <row r="6590" spans="3:3" s="181" customFormat="1" hidden="1" x14ac:dyDescent="0.2">
      <c r="C6590" s="180"/>
    </row>
    <row r="6591" spans="3:3" s="181" customFormat="1" hidden="1" x14ac:dyDescent="0.2">
      <c r="C6591" s="180"/>
    </row>
    <row r="6592" spans="3:3" s="181" customFormat="1" hidden="1" x14ac:dyDescent="0.2">
      <c r="C6592" s="180"/>
    </row>
    <row r="6593" spans="3:3" s="181" customFormat="1" hidden="1" x14ac:dyDescent="0.2">
      <c r="C6593" s="180"/>
    </row>
    <row r="6594" spans="3:3" s="181" customFormat="1" hidden="1" x14ac:dyDescent="0.2">
      <c r="C6594" s="180"/>
    </row>
    <row r="6595" spans="3:3" s="181" customFormat="1" hidden="1" x14ac:dyDescent="0.2">
      <c r="C6595" s="180"/>
    </row>
    <row r="6596" spans="3:3" s="181" customFormat="1" hidden="1" x14ac:dyDescent="0.2">
      <c r="C6596" s="180"/>
    </row>
    <row r="6597" spans="3:3" s="181" customFormat="1" hidden="1" x14ac:dyDescent="0.2">
      <c r="C6597" s="180"/>
    </row>
    <row r="6598" spans="3:3" s="181" customFormat="1" hidden="1" x14ac:dyDescent="0.2">
      <c r="C6598" s="180"/>
    </row>
    <row r="6599" spans="3:3" s="181" customFormat="1" hidden="1" x14ac:dyDescent="0.2">
      <c r="C6599" s="180"/>
    </row>
    <row r="6600" spans="3:3" s="181" customFormat="1" hidden="1" x14ac:dyDescent="0.2">
      <c r="C6600" s="180"/>
    </row>
    <row r="6601" spans="3:3" s="181" customFormat="1" hidden="1" x14ac:dyDescent="0.2">
      <c r="C6601" s="180"/>
    </row>
    <row r="6602" spans="3:3" s="181" customFormat="1" hidden="1" x14ac:dyDescent="0.2">
      <c r="C6602" s="180"/>
    </row>
    <row r="6603" spans="3:3" s="181" customFormat="1" hidden="1" x14ac:dyDescent="0.2">
      <c r="C6603" s="180"/>
    </row>
    <row r="6604" spans="3:3" s="181" customFormat="1" hidden="1" x14ac:dyDescent="0.2">
      <c r="C6604" s="180"/>
    </row>
    <row r="6605" spans="3:3" s="181" customFormat="1" hidden="1" x14ac:dyDescent="0.2">
      <c r="C6605" s="180"/>
    </row>
    <row r="6606" spans="3:3" s="181" customFormat="1" hidden="1" x14ac:dyDescent="0.2">
      <c r="C6606" s="180"/>
    </row>
    <row r="6607" spans="3:3" s="181" customFormat="1" hidden="1" x14ac:dyDescent="0.2">
      <c r="C6607" s="180"/>
    </row>
    <row r="6608" spans="3:3" s="181" customFormat="1" hidden="1" x14ac:dyDescent="0.2">
      <c r="C6608" s="180"/>
    </row>
    <row r="6609" spans="3:3" s="181" customFormat="1" hidden="1" x14ac:dyDescent="0.2">
      <c r="C6609" s="180"/>
    </row>
    <row r="6610" spans="3:3" s="181" customFormat="1" hidden="1" x14ac:dyDescent="0.2">
      <c r="C6610" s="180"/>
    </row>
    <row r="6611" spans="3:3" s="181" customFormat="1" hidden="1" x14ac:dyDescent="0.2">
      <c r="C6611" s="180"/>
    </row>
    <row r="6612" spans="3:3" s="181" customFormat="1" hidden="1" x14ac:dyDescent="0.2">
      <c r="C6612" s="180"/>
    </row>
    <row r="6613" spans="3:3" s="181" customFormat="1" hidden="1" x14ac:dyDescent="0.2">
      <c r="C6613" s="180"/>
    </row>
    <row r="6614" spans="3:3" s="181" customFormat="1" hidden="1" x14ac:dyDescent="0.2">
      <c r="C6614" s="180"/>
    </row>
    <row r="6615" spans="3:3" s="181" customFormat="1" hidden="1" x14ac:dyDescent="0.2">
      <c r="C6615" s="180"/>
    </row>
    <row r="6616" spans="3:3" s="181" customFormat="1" hidden="1" x14ac:dyDescent="0.2">
      <c r="C6616" s="180"/>
    </row>
    <row r="6617" spans="3:3" s="181" customFormat="1" hidden="1" x14ac:dyDescent="0.2">
      <c r="C6617" s="180"/>
    </row>
    <row r="6618" spans="3:3" s="181" customFormat="1" hidden="1" x14ac:dyDescent="0.2">
      <c r="C6618" s="180"/>
    </row>
    <row r="6619" spans="3:3" s="181" customFormat="1" hidden="1" x14ac:dyDescent="0.2">
      <c r="C6619" s="180"/>
    </row>
    <row r="6620" spans="3:3" s="181" customFormat="1" hidden="1" x14ac:dyDescent="0.2">
      <c r="C6620" s="180"/>
    </row>
    <row r="6621" spans="3:3" s="181" customFormat="1" hidden="1" x14ac:dyDescent="0.2">
      <c r="C6621" s="180"/>
    </row>
    <row r="6622" spans="3:3" s="181" customFormat="1" hidden="1" x14ac:dyDescent="0.2">
      <c r="C6622" s="180"/>
    </row>
    <row r="6623" spans="3:3" s="181" customFormat="1" hidden="1" x14ac:dyDescent="0.2">
      <c r="C6623" s="180"/>
    </row>
    <row r="6624" spans="3:3" s="181" customFormat="1" hidden="1" x14ac:dyDescent="0.2">
      <c r="C6624" s="180"/>
    </row>
    <row r="6625" spans="3:3" s="181" customFormat="1" hidden="1" x14ac:dyDescent="0.2">
      <c r="C6625" s="180"/>
    </row>
    <row r="6626" spans="3:3" s="181" customFormat="1" hidden="1" x14ac:dyDescent="0.2">
      <c r="C6626" s="180"/>
    </row>
    <row r="6627" spans="3:3" s="181" customFormat="1" hidden="1" x14ac:dyDescent="0.2">
      <c r="C6627" s="180"/>
    </row>
    <row r="6628" spans="3:3" s="181" customFormat="1" hidden="1" x14ac:dyDescent="0.2">
      <c r="C6628" s="180"/>
    </row>
    <row r="6629" spans="3:3" s="181" customFormat="1" hidden="1" x14ac:dyDescent="0.2">
      <c r="C6629" s="180"/>
    </row>
    <row r="6630" spans="3:3" s="181" customFormat="1" hidden="1" x14ac:dyDescent="0.2">
      <c r="C6630" s="180"/>
    </row>
    <row r="6631" spans="3:3" s="181" customFormat="1" hidden="1" x14ac:dyDescent="0.2">
      <c r="C6631" s="180"/>
    </row>
    <row r="6632" spans="3:3" s="181" customFormat="1" hidden="1" x14ac:dyDescent="0.2">
      <c r="C6632" s="180"/>
    </row>
    <row r="6633" spans="3:3" s="181" customFormat="1" hidden="1" x14ac:dyDescent="0.2">
      <c r="C6633" s="180"/>
    </row>
    <row r="6634" spans="3:3" s="181" customFormat="1" hidden="1" x14ac:dyDescent="0.2">
      <c r="C6634" s="180"/>
    </row>
    <row r="6635" spans="3:3" s="181" customFormat="1" hidden="1" x14ac:dyDescent="0.2">
      <c r="C6635" s="180"/>
    </row>
    <row r="6636" spans="3:3" s="181" customFormat="1" hidden="1" x14ac:dyDescent="0.2">
      <c r="C6636" s="180"/>
    </row>
    <row r="6637" spans="3:3" s="181" customFormat="1" hidden="1" x14ac:dyDescent="0.2">
      <c r="C6637" s="180"/>
    </row>
    <row r="6638" spans="3:3" s="181" customFormat="1" hidden="1" x14ac:dyDescent="0.2">
      <c r="C6638" s="180"/>
    </row>
    <row r="6639" spans="3:3" s="181" customFormat="1" hidden="1" x14ac:dyDescent="0.2">
      <c r="C6639" s="180"/>
    </row>
    <row r="6640" spans="3:3" s="181" customFormat="1" hidden="1" x14ac:dyDescent="0.2">
      <c r="C6640" s="180"/>
    </row>
    <row r="6641" spans="3:3" s="181" customFormat="1" hidden="1" x14ac:dyDescent="0.2">
      <c r="C6641" s="180"/>
    </row>
    <row r="6642" spans="3:3" s="181" customFormat="1" hidden="1" x14ac:dyDescent="0.2">
      <c r="C6642" s="180"/>
    </row>
    <row r="6643" spans="3:3" s="181" customFormat="1" hidden="1" x14ac:dyDescent="0.2">
      <c r="C6643" s="180"/>
    </row>
    <row r="6644" spans="3:3" s="181" customFormat="1" hidden="1" x14ac:dyDescent="0.2">
      <c r="C6644" s="180"/>
    </row>
    <row r="6645" spans="3:3" s="181" customFormat="1" hidden="1" x14ac:dyDescent="0.2">
      <c r="C6645" s="180"/>
    </row>
    <row r="6646" spans="3:3" s="181" customFormat="1" hidden="1" x14ac:dyDescent="0.2">
      <c r="C6646" s="180"/>
    </row>
    <row r="6647" spans="3:3" s="181" customFormat="1" hidden="1" x14ac:dyDescent="0.2">
      <c r="C6647" s="180"/>
    </row>
    <row r="6648" spans="3:3" s="181" customFormat="1" hidden="1" x14ac:dyDescent="0.2">
      <c r="C6648" s="180"/>
    </row>
    <row r="6649" spans="3:3" s="181" customFormat="1" hidden="1" x14ac:dyDescent="0.2">
      <c r="C6649" s="180"/>
    </row>
    <row r="6650" spans="3:3" s="181" customFormat="1" hidden="1" x14ac:dyDescent="0.2">
      <c r="C6650" s="180"/>
    </row>
    <row r="6651" spans="3:3" s="181" customFormat="1" hidden="1" x14ac:dyDescent="0.2">
      <c r="C6651" s="180"/>
    </row>
    <row r="6652" spans="3:3" s="181" customFormat="1" hidden="1" x14ac:dyDescent="0.2">
      <c r="C6652" s="180"/>
    </row>
    <row r="6653" spans="3:3" s="181" customFormat="1" hidden="1" x14ac:dyDescent="0.2">
      <c r="C6653" s="180"/>
    </row>
    <row r="6654" spans="3:3" s="181" customFormat="1" hidden="1" x14ac:dyDescent="0.2">
      <c r="C6654" s="180"/>
    </row>
    <row r="6655" spans="3:3" s="181" customFormat="1" hidden="1" x14ac:dyDescent="0.2">
      <c r="C6655" s="180"/>
    </row>
    <row r="6656" spans="3:3" s="181" customFormat="1" hidden="1" x14ac:dyDescent="0.2">
      <c r="C6656" s="180"/>
    </row>
    <row r="6657" spans="3:3" s="181" customFormat="1" hidden="1" x14ac:dyDescent="0.2">
      <c r="C6657" s="180"/>
    </row>
    <row r="6658" spans="3:3" s="181" customFormat="1" hidden="1" x14ac:dyDescent="0.2">
      <c r="C6658" s="180"/>
    </row>
    <row r="6659" spans="3:3" s="181" customFormat="1" hidden="1" x14ac:dyDescent="0.2">
      <c r="C6659" s="180"/>
    </row>
    <row r="6660" spans="3:3" s="181" customFormat="1" hidden="1" x14ac:dyDescent="0.2">
      <c r="C6660" s="180"/>
    </row>
    <row r="6661" spans="3:3" s="181" customFormat="1" hidden="1" x14ac:dyDescent="0.2">
      <c r="C6661" s="180"/>
    </row>
    <row r="6662" spans="3:3" s="181" customFormat="1" hidden="1" x14ac:dyDescent="0.2">
      <c r="C6662" s="180"/>
    </row>
    <row r="6663" spans="3:3" s="181" customFormat="1" hidden="1" x14ac:dyDescent="0.2">
      <c r="C6663" s="180"/>
    </row>
    <row r="6664" spans="3:3" s="181" customFormat="1" hidden="1" x14ac:dyDescent="0.2">
      <c r="C6664" s="180"/>
    </row>
    <row r="6665" spans="3:3" s="181" customFormat="1" hidden="1" x14ac:dyDescent="0.2">
      <c r="C6665" s="180"/>
    </row>
    <row r="6666" spans="3:3" s="181" customFormat="1" hidden="1" x14ac:dyDescent="0.2">
      <c r="C6666" s="180"/>
    </row>
    <row r="6667" spans="3:3" s="181" customFormat="1" hidden="1" x14ac:dyDescent="0.2">
      <c r="C6667" s="180"/>
    </row>
    <row r="6668" spans="3:3" s="181" customFormat="1" hidden="1" x14ac:dyDescent="0.2">
      <c r="C6668" s="180"/>
    </row>
    <row r="6669" spans="3:3" s="181" customFormat="1" hidden="1" x14ac:dyDescent="0.2">
      <c r="C6669" s="180"/>
    </row>
    <row r="6670" spans="3:3" s="181" customFormat="1" hidden="1" x14ac:dyDescent="0.2">
      <c r="C6670" s="180"/>
    </row>
    <row r="6671" spans="3:3" s="181" customFormat="1" hidden="1" x14ac:dyDescent="0.2">
      <c r="C6671" s="180"/>
    </row>
    <row r="6672" spans="3:3" s="181" customFormat="1" hidden="1" x14ac:dyDescent="0.2">
      <c r="C6672" s="180"/>
    </row>
    <row r="6673" spans="3:3" s="181" customFormat="1" hidden="1" x14ac:dyDescent="0.2">
      <c r="C6673" s="180"/>
    </row>
    <row r="6674" spans="3:3" s="181" customFormat="1" hidden="1" x14ac:dyDescent="0.2">
      <c r="C6674" s="180"/>
    </row>
    <row r="6675" spans="3:3" s="181" customFormat="1" hidden="1" x14ac:dyDescent="0.2">
      <c r="C6675" s="180"/>
    </row>
    <row r="6676" spans="3:3" s="181" customFormat="1" hidden="1" x14ac:dyDescent="0.2">
      <c r="C6676" s="180"/>
    </row>
    <row r="6677" spans="3:3" s="181" customFormat="1" hidden="1" x14ac:dyDescent="0.2">
      <c r="C6677" s="180"/>
    </row>
    <row r="6678" spans="3:3" s="181" customFormat="1" hidden="1" x14ac:dyDescent="0.2">
      <c r="C6678" s="180"/>
    </row>
    <row r="6679" spans="3:3" s="181" customFormat="1" hidden="1" x14ac:dyDescent="0.2">
      <c r="C6679" s="180"/>
    </row>
    <row r="6680" spans="3:3" s="181" customFormat="1" hidden="1" x14ac:dyDescent="0.2">
      <c r="C6680" s="180"/>
    </row>
    <row r="6681" spans="3:3" s="181" customFormat="1" hidden="1" x14ac:dyDescent="0.2">
      <c r="C6681" s="180"/>
    </row>
    <row r="6682" spans="3:3" s="181" customFormat="1" hidden="1" x14ac:dyDescent="0.2">
      <c r="C6682" s="180"/>
    </row>
    <row r="6683" spans="3:3" s="181" customFormat="1" hidden="1" x14ac:dyDescent="0.2">
      <c r="C6683" s="180"/>
    </row>
    <row r="6684" spans="3:3" s="181" customFormat="1" hidden="1" x14ac:dyDescent="0.2">
      <c r="C6684" s="180"/>
    </row>
    <row r="6685" spans="3:3" s="181" customFormat="1" hidden="1" x14ac:dyDescent="0.2">
      <c r="C6685" s="180"/>
    </row>
    <row r="6686" spans="3:3" s="181" customFormat="1" hidden="1" x14ac:dyDescent="0.2">
      <c r="C6686" s="180"/>
    </row>
    <row r="6687" spans="3:3" s="181" customFormat="1" hidden="1" x14ac:dyDescent="0.2">
      <c r="C6687" s="180"/>
    </row>
    <row r="6688" spans="3:3" s="181" customFormat="1" hidden="1" x14ac:dyDescent="0.2">
      <c r="C6688" s="180"/>
    </row>
    <row r="6689" spans="3:3" s="181" customFormat="1" hidden="1" x14ac:dyDescent="0.2">
      <c r="C6689" s="180"/>
    </row>
    <row r="6690" spans="3:3" s="181" customFormat="1" hidden="1" x14ac:dyDescent="0.2">
      <c r="C6690" s="180"/>
    </row>
    <row r="6691" spans="3:3" s="181" customFormat="1" hidden="1" x14ac:dyDescent="0.2">
      <c r="C6691" s="180"/>
    </row>
    <row r="6692" spans="3:3" s="181" customFormat="1" hidden="1" x14ac:dyDescent="0.2">
      <c r="C6692" s="180"/>
    </row>
    <row r="6693" spans="3:3" s="181" customFormat="1" hidden="1" x14ac:dyDescent="0.2">
      <c r="C6693" s="180"/>
    </row>
    <row r="6694" spans="3:3" s="181" customFormat="1" hidden="1" x14ac:dyDescent="0.2">
      <c r="C6694" s="180"/>
    </row>
    <row r="6695" spans="3:3" s="181" customFormat="1" hidden="1" x14ac:dyDescent="0.2">
      <c r="C6695" s="180"/>
    </row>
    <row r="6696" spans="3:3" s="181" customFormat="1" hidden="1" x14ac:dyDescent="0.2">
      <c r="C6696" s="180"/>
    </row>
    <row r="6697" spans="3:3" s="181" customFormat="1" hidden="1" x14ac:dyDescent="0.2">
      <c r="C6697" s="180"/>
    </row>
    <row r="6698" spans="3:3" s="181" customFormat="1" hidden="1" x14ac:dyDescent="0.2">
      <c r="C6698" s="180"/>
    </row>
    <row r="6699" spans="3:3" s="181" customFormat="1" hidden="1" x14ac:dyDescent="0.2">
      <c r="C6699" s="180"/>
    </row>
    <row r="6700" spans="3:3" s="181" customFormat="1" hidden="1" x14ac:dyDescent="0.2">
      <c r="C6700" s="180"/>
    </row>
    <row r="6701" spans="3:3" s="181" customFormat="1" hidden="1" x14ac:dyDescent="0.2">
      <c r="C6701" s="180"/>
    </row>
    <row r="6702" spans="3:3" s="181" customFormat="1" hidden="1" x14ac:dyDescent="0.2">
      <c r="C6702" s="180"/>
    </row>
    <row r="6703" spans="3:3" s="181" customFormat="1" hidden="1" x14ac:dyDescent="0.2">
      <c r="C6703" s="180"/>
    </row>
    <row r="6704" spans="3:3" s="181" customFormat="1" hidden="1" x14ac:dyDescent="0.2">
      <c r="C6704" s="180"/>
    </row>
    <row r="6705" spans="3:3" s="181" customFormat="1" hidden="1" x14ac:dyDescent="0.2">
      <c r="C6705" s="180"/>
    </row>
    <row r="6706" spans="3:3" s="181" customFormat="1" hidden="1" x14ac:dyDescent="0.2">
      <c r="C6706" s="180"/>
    </row>
    <row r="6707" spans="3:3" s="181" customFormat="1" hidden="1" x14ac:dyDescent="0.2">
      <c r="C6707" s="180"/>
    </row>
    <row r="6708" spans="3:3" s="181" customFormat="1" hidden="1" x14ac:dyDescent="0.2">
      <c r="C6708" s="180"/>
    </row>
    <row r="6709" spans="3:3" s="181" customFormat="1" hidden="1" x14ac:dyDescent="0.2">
      <c r="C6709" s="180"/>
    </row>
    <row r="6710" spans="3:3" s="181" customFormat="1" hidden="1" x14ac:dyDescent="0.2">
      <c r="C6710" s="180"/>
    </row>
    <row r="6711" spans="3:3" s="181" customFormat="1" hidden="1" x14ac:dyDescent="0.2">
      <c r="C6711" s="180"/>
    </row>
    <row r="6712" spans="3:3" s="181" customFormat="1" hidden="1" x14ac:dyDescent="0.2">
      <c r="C6712" s="180"/>
    </row>
    <row r="6713" spans="3:3" s="181" customFormat="1" hidden="1" x14ac:dyDescent="0.2">
      <c r="C6713" s="180"/>
    </row>
    <row r="6714" spans="3:3" s="181" customFormat="1" hidden="1" x14ac:dyDescent="0.2">
      <c r="C6714" s="180"/>
    </row>
    <row r="6715" spans="3:3" s="181" customFormat="1" hidden="1" x14ac:dyDescent="0.2">
      <c r="C6715" s="180"/>
    </row>
    <row r="6716" spans="3:3" s="181" customFormat="1" hidden="1" x14ac:dyDescent="0.2">
      <c r="C6716" s="180"/>
    </row>
    <row r="6717" spans="3:3" s="181" customFormat="1" hidden="1" x14ac:dyDescent="0.2">
      <c r="C6717" s="180"/>
    </row>
    <row r="6718" spans="3:3" s="181" customFormat="1" hidden="1" x14ac:dyDescent="0.2">
      <c r="C6718" s="180"/>
    </row>
    <row r="6719" spans="3:3" s="181" customFormat="1" hidden="1" x14ac:dyDescent="0.2">
      <c r="C6719" s="180"/>
    </row>
    <row r="6720" spans="3:3" s="181" customFormat="1" hidden="1" x14ac:dyDescent="0.2">
      <c r="C6720" s="180"/>
    </row>
    <row r="6721" spans="3:3" s="181" customFormat="1" hidden="1" x14ac:dyDescent="0.2">
      <c r="C6721" s="180"/>
    </row>
    <row r="6722" spans="3:3" s="181" customFormat="1" hidden="1" x14ac:dyDescent="0.2">
      <c r="C6722" s="180"/>
    </row>
    <row r="6723" spans="3:3" s="181" customFormat="1" hidden="1" x14ac:dyDescent="0.2">
      <c r="C6723" s="180"/>
    </row>
    <row r="6724" spans="3:3" s="181" customFormat="1" hidden="1" x14ac:dyDescent="0.2">
      <c r="C6724" s="180"/>
    </row>
    <row r="6725" spans="3:3" s="181" customFormat="1" hidden="1" x14ac:dyDescent="0.2">
      <c r="C6725" s="180"/>
    </row>
    <row r="6726" spans="3:3" s="181" customFormat="1" hidden="1" x14ac:dyDescent="0.2">
      <c r="C6726" s="180"/>
    </row>
    <row r="6727" spans="3:3" s="181" customFormat="1" hidden="1" x14ac:dyDescent="0.2">
      <c r="C6727" s="180"/>
    </row>
    <row r="6728" spans="3:3" s="181" customFormat="1" hidden="1" x14ac:dyDescent="0.2">
      <c r="C6728" s="180"/>
    </row>
    <row r="6729" spans="3:3" s="181" customFormat="1" hidden="1" x14ac:dyDescent="0.2">
      <c r="C6729" s="180"/>
    </row>
    <row r="6730" spans="3:3" s="181" customFormat="1" hidden="1" x14ac:dyDescent="0.2">
      <c r="C6730" s="180"/>
    </row>
    <row r="6731" spans="3:3" s="181" customFormat="1" hidden="1" x14ac:dyDescent="0.2">
      <c r="C6731" s="180"/>
    </row>
    <row r="6732" spans="3:3" s="181" customFormat="1" hidden="1" x14ac:dyDescent="0.2">
      <c r="C6732" s="180"/>
    </row>
    <row r="6733" spans="3:3" s="181" customFormat="1" hidden="1" x14ac:dyDescent="0.2">
      <c r="C6733" s="180"/>
    </row>
    <row r="6734" spans="3:3" hidden="1" x14ac:dyDescent="0.2"/>
    <row r="6735" spans="3:3" hidden="1" x14ac:dyDescent="0.2"/>
    <row r="6736" spans="3:3"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protectedRanges>
    <protectedRange sqref="BE18:BE21 BE48:BE57 BE64:BE67 BE72 BE74 BE76:BE81 BE86 BE89 BF93 BF96:BF98 BD102:BE132" name="Range17"/>
    <protectedRange sqref="AO18 AO21 AO48:AO57 AO64:AO67 AO71:AO74 AO76:AO81 AO86 AO89 AP93 AP96:AP98 AN102:AO132" name="Range15"/>
    <protectedRange sqref="AA18 AA20:AA21 AA48:AA57 AA64:AA67 AA72 AA74 AA76:AA81 AA86 AB93 AB96:AB98 Z102:AA132" name="Range13"/>
    <protectedRange sqref="E102:H132" name="Range10"/>
    <protectedRange sqref="G96:G98" name="Range9"/>
    <protectedRange sqref="G93" name="Range8"/>
    <protectedRange sqref="F89" name="Range7"/>
    <protectedRange sqref="F84:F86" name="Range6"/>
    <protectedRange sqref="F76:F81" name="Range5"/>
    <protectedRange sqref="F71:F74" name="Range4"/>
    <protectedRange sqref="F64:F67" name="Range3"/>
    <protectedRange sqref="F48:F57" name="Range2"/>
    <protectedRange sqref="F16:F21" name="Range1"/>
    <protectedRange sqref="M16:M19 M21 M48:M57 M64:M67 M71:M74 M77:M81 M84:M86 M89 N93 N96:N98 L102:O132" name="Range11"/>
    <protectedRange sqref="T18:T21 T48:T57 T64:T67 T72 T74 T76:T81 T86 T89 U93 U96:U98 S102:T132" name="Range12"/>
    <protectedRange sqref="AH18:AH21 AH48:AH57 AH64:AH67 AH71:AH74 AH76:AH81 AH86 AH89 AI93 AI96:AI98 AG102:AH132" name="Range14"/>
    <protectedRange sqref="AV16:AV18 AV20:AV21 AV48:AV57 AV64:AV67 AV71:AV74 AV76:AV81 AV86 AV89 AW93 AW96:AW98 AU102:AV132" name="Range16"/>
  </protectedRanges>
  <customSheetViews>
    <customSheetView guid="{F792C52D-3F7D-4169-B87A-F2F2698FB257}" scale="75" showPageBreaks="1" fitToPage="1" hiddenRows="1" hiddenColumns="1" showRuler="0">
      <pane xSplit="4" ySplit="5" topLeftCell="E6" activePane="bottomRight" state="frozen"/>
      <selection pane="bottomRight" activeCell="F14" sqref="F14"/>
      <pageMargins left="0.74803149606299213" right="0.74803149606299213" top="0.98425196850393704" bottom="0.98425196850393704" header="0.51181102362204722" footer="0.51181102362204722"/>
      <pageSetup paperSize="9" scale="10" orientation="landscape" r:id="rId1"/>
      <headerFooter alignWithMargins="0">
        <oddHeader>&amp;LFoster Wheeler&amp;CThe Energy Technologies Institute - Benchmarking and Performance Analysis of Next Generation CO2 Capture Technologies&amp;R&amp;P of &amp;N</oddHeader>
        <oddFooter>&amp;L&amp;F&amp;C&amp;A&amp;R&amp;D &amp;T</oddFooter>
      </headerFooter>
    </customSheetView>
  </customSheetViews>
  <mergeCells count="48">
    <mergeCell ref="BG11:BG23"/>
    <mergeCell ref="BG48:BG57"/>
    <mergeCell ref="BG64:BG67"/>
    <mergeCell ref="BG71:BG81"/>
    <mergeCell ref="BG84:BG86"/>
    <mergeCell ref="AX11:AX23"/>
    <mergeCell ref="H48:H57"/>
    <mergeCell ref="O48:O57"/>
    <mergeCell ref="H71:H81"/>
    <mergeCell ref="V11:V23"/>
    <mergeCell ref="H64:H67"/>
    <mergeCell ref="O64:O67"/>
    <mergeCell ref="V48:V57"/>
    <mergeCell ref="O71:O81"/>
    <mergeCell ref="V71:V81"/>
    <mergeCell ref="AC11:AC23"/>
    <mergeCell ref="AJ11:AJ23"/>
    <mergeCell ref="AQ11:AQ23"/>
    <mergeCell ref="G100:H100"/>
    <mergeCell ref="E100:F100"/>
    <mergeCell ref="L100:M100"/>
    <mergeCell ref="N100:O100"/>
    <mergeCell ref="V64:V67"/>
    <mergeCell ref="A1:G2"/>
    <mergeCell ref="A3:G3"/>
    <mergeCell ref="H11:H23"/>
    <mergeCell ref="O11:O23"/>
    <mergeCell ref="AC71:AC81"/>
    <mergeCell ref="AY100:AZ100"/>
    <mergeCell ref="U139:V139"/>
    <mergeCell ref="AJ71:AJ81"/>
    <mergeCell ref="AQ71:AQ81"/>
    <mergeCell ref="AX64:AX67"/>
    <mergeCell ref="AJ84:AJ86"/>
    <mergeCell ref="AQ84:AQ86"/>
    <mergeCell ref="H84:H86"/>
    <mergeCell ref="O84:O86"/>
    <mergeCell ref="V84:V86"/>
    <mergeCell ref="AC84:AC86"/>
    <mergeCell ref="AX84:AX86"/>
    <mergeCell ref="AX48:AX57"/>
    <mergeCell ref="AX71:AX81"/>
    <mergeCell ref="AC48:AC57"/>
    <mergeCell ref="AJ48:AJ57"/>
    <mergeCell ref="AQ48:AQ57"/>
    <mergeCell ref="AC64:AC67"/>
    <mergeCell ref="AJ64:AJ67"/>
    <mergeCell ref="AQ64:AQ67"/>
  </mergeCells>
  <phoneticPr fontId="4" type="noConversion"/>
  <dataValidations disablePrompts="1" count="2">
    <dataValidation type="list" allowBlank="1" showInputMessage="1" showErrorMessage="1" sqref="D72">
      <formula1>Money</formula1>
    </dataValidation>
    <dataValidation type="list" allowBlank="1" showInputMessage="1" showErrorMessage="1" sqref="D48:D63">
      <formula1>CapitalMoney</formula1>
    </dataValidation>
  </dataValidations>
  <pageMargins left="1.25" right="0.94" top="0.55000000000000004" bottom="0.56000000000000005" header="0.26" footer="0.28000000000000003"/>
  <pageSetup paperSize="9" scale="13" orientation="landscape" r:id="rId2"/>
  <headerFooter alignWithMargins="0">
    <oddHeader>&amp;LFoster Wheeler&amp;CThe Energy Technologies Institute - Benchmarking and Performance Analysis of Next Generation CO2 Capture Technologies&amp;R&amp;P of &amp;N</oddHeader>
    <oddFooter>&amp;L&amp;F&amp;C&amp;A&amp;R&amp;D &amp;T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71" r:id="rId5" name="Button 23">
              <controlPr defaultSize="0" print="0" autoFill="0" autoPict="0" macro="[0]!goalseek">
                <anchor moveWithCells="1" sizeWithCells="1">
                  <from>
                    <xdr:col>7</xdr:col>
                    <xdr:colOff>295275</xdr:colOff>
                    <xdr:row>1</xdr:row>
                    <xdr:rowOff>0</xdr:rowOff>
                  </from>
                  <to>
                    <xdr:col>9</xdr:col>
                    <xdr:colOff>523875</xdr:colOff>
                    <xdr:row>2</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N53"/>
  <sheetViews>
    <sheetView zoomScale="75" workbookViewId="0">
      <pane xSplit="5" ySplit="15" topLeftCell="F16" activePane="bottomRight" state="frozen"/>
      <selection pane="topRight" activeCell="F1" sqref="F1"/>
      <selection pane="bottomLeft" activeCell="A16" sqref="A16"/>
      <selection pane="bottomRight" activeCell="I51" sqref="I51"/>
    </sheetView>
  </sheetViews>
  <sheetFormatPr defaultRowHeight="12.75" x14ac:dyDescent="0.2"/>
  <cols>
    <col min="1" max="1" width="6.28515625" customWidth="1"/>
    <col min="5" max="5" width="9.42578125" customWidth="1"/>
    <col min="6" max="7" width="10.140625" bestFit="1" customWidth="1"/>
    <col min="8" max="8" width="10.85546875" customWidth="1"/>
    <col min="9" max="9" width="11.28515625" bestFit="1" customWidth="1"/>
    <col min="10" max="10" width="10.28515625" bestFit="1" customWidth="1"/>
    <col min="11" max="11" width="9.85546875" customWidth="1"/>
    <col min="12" max="15" width="10.140625" bestFit="1" customWidth="1"/>
    <col min="16" max="16" width="14.28515625" customWidth="1"/>
    <col min="17" max="17" width="8.7109375" customWidth="1"/>
    <col min="18" max="18" width="11.42578125" customWidth="1"/>
    <col min="19" max="19" width="13" customWidth="1"/>
    <col min="20" max="20" width="10.28515625" customWidth="1"/>
    <col min="21" max="21" width="12.7109375" customWidth="1"/>
    <col min="22" max="33" width="9.7109375" bestFit="1" customWidth="1"/>
  </cols>
  <sheetData>
    <row r="2" spans="2:22" x14ac:dyDescent="0.2">
      <c r="E2" s="127"/>
    </row>
    <row r="4" spans="2:22" x14ac:dyDescent="0.2">
      <c r="B4" s="1" t="s">
        <v>0</v>
      </c>
      <c r="G4" s="1" t="s">
        <v>6</v>
      </c>
      <c r="I4" s="1" t="s">
        <v>12</v>
      </c>
      <c r="K4" s="1" t="s">
        <v>13</v>
      </c>
      <c r="L4" s="1" t="s">
        <v>14</v>
      </c>
      <c r="P4" s="1" t="s">
        <v>16</v>
      </c>
    </row>
    <row r="5" spans="2:22" ht="12.75" customHeight="1" x14ac:dyDescent="0.2">
      <c r="B5" t="s">
        <v>1</v>
      </c>
      <c r="D5" t="s">
        <v>2</v>
      </c>
      <c r="E5" s="82">
        <f>'Input Data'!G26</f>
        <v>273.29166666666669</v>
      </c>
      <c r="G5" t="s">
        <v>7</v>
      </c>
      <c r="I5">
        <f>'Input Data'!G60</f>
        <v>1111.5</v>
      </c>
      <c r="K5" t="s">
        <v>76</v>
      </c>
      <c r="M5">
        <f>'Input Data'!G71</f>
        <v>65</v>
      </c>
      <c r="N5" t="s">
        <v>26</v>
      </c>
      <c r="P5" s="223" t="s">
        <v>196</v>
      </c>
      <c r="Q5" t="s">
        <v>136</v>
      </c>
      <c r="R5" s="225">
        <v>7.6207943053720695E-2</v>
      </c>
    </row>
    <row r="6" spans="2:22" ht="12.75" customHeight="1" x14ac:dyDescent="0.2">
      <c r="B6" t="s">
        <v>4</v>
      </c>
      <c r="D6" t="s">
        <v>3</v>
      </c>
      <c r="E6" s="128">
        <f>'Input Data'!G23</f>
        <v>700.09999999999991</v>
      </c>
      <c r="G6" t="s">
        <v>8</v>
      </c>
      <c r="I6" s="84">
        <f>'Input Data'!E65</f>
        <v>0.05</v>
      </c>
      <c r="K6" t="s">
        <v>20</v>
      </c>
      <c r="M6">
        <f>'Input Data'!G72</f>
        <v>39.72</v>
      </c>
      <c r="N6" t="s">
        <v>135</v>
      </c>
      <c r="P6" t="s">
        <v>104</v>
      </c>
      <c r="Q6" t="s">
        <v>26</v>
      </c>
      <c r="R6">
        <f>'Input Data'!G84</f>
        <v>40</v>
      </c>
    </row>
    <row r="7" spans="2:22" ht="12.75" customHeight="1" x14ac:dyDescent="0.3">
      <c r="B7" t="s">
        <v>5</v>
      </c>
      <c r="D7" t="s">
        <v>2</v>
      </c>
      <c r="E7">
        <f>'Input Data'!G37</f>
        <v>2.2999999999999998</v>
      </c>
      <c r="G7" t="s">
        <v>9</v>
      </c>
      <c r="I7" s="84">
        <f>'Input Data'!E66</f>
        <v>0.1</v>
      </c>
      <c r="K7" t="s">
        <v>199</v>
      </c>
      <c r="M7" s="227">
        <f>'Input Data'!G77</f>
        <v>0</v>
      </c>
      <c r="N7" s="223" t="s">
        <v>26</v>
      </c>
      <c r="P7" s="223" t="s">
        <v>105</v>
      </c>
      <c r="Q7" s="223" t="s">
        <v>26</v>
      </c>
      <c r="R7" s="271">
        <f>'Input Data'!G85</f>
        <v>1307.18954248366</v>
      </c>
    </row>
    <row r="8" spans="2:22" ht="12.75" customHeight="1" x14ac:dyDescent="0.2">
      <c r="E8" s="81"/>
      <c r="G8" t="s">
        <v>10</v>
      </c>
      <c r="I8" s="86">
        <f>'Input Data'!E64</f>
        <v>0.25</v>
      </c>
      <c r="K8" s="1" t="s">
        <v>121</v>
      </c>
      <c r="N8" s="85" t="s">
        <v>126</v>
      </c>
      <c r="P8" s="224"/>
      <c r="T8" s="99"/>
      <c r="U8" s="1"/>
    </row>
    <row r="9" spans="2:22" x14ac:dyDescent="0.2">
      <c r="K9" t="s">
        <v>106</v>
      </c>
      <c r="N9">
        <f>'Input Data'!G78</f>
        <v>128</v>
      </c>
      <c r="P9" t="s">
        <v>127</v>
      </c>
      <c r="R9" s="86">
        <f>'Input Data'!G86</f>
        <v>0.1</v>
      </c>
      <c r="T9" s="192"/>
    </row>
    <row r="10" spans="2:22" x14ac:dyDescent="0.2">
      <c r="B10" s="179" t="str">
        <f>IF('Input Data'!G10&gt;0.001,"Performance Data: User Adjusted","")</f>
        <v/>
      </c>
      <c r="G10" t="s">
        <v>11</v>
      </c>
      <c r="I10" s="128">
        <f>I5+(I6*I5)+(I5*I7)+(I5*I8)</f>
        <v>1556.1000000000001</v>
      </c>
      <c r="K10" t="s">
        <v>107</v>
      </c>
      <c r="N10">
        <f>'Input Data'!G79</f>
        <v>0.05</v>
      </c>
      <c r="P10" t="s">
        <v>24</v>
      </c>
      <c r="R10" s="83">
        <f>'Input Data'!G81</f>
        <v>0.02</v>
      </c>
      <c r="S10" t="s">
        <v>125</v>
      </c>
    </row>
    <row r="11" spans="2:22" x14ac:dyDescent="0.2">
      <c r="K11" t="s">
        <v>122</v>
      </c>
      <c r="N11" s="83">
        <f>'Input Data'!G80</f>
        <v>0.3</v>
      </c>
      <c r="V11" s="83"/>
    </row>
    <row r="12" spans="2:22" x14ac:dyDescent="0.2">
      <c r="K12" s="1" t="s">
        <v>133</v>
      </c>
      <c r="N12" s="1">
        <f>(N9*N10)*(1+N11)</f>
        <v>8.32</v>
      </c>
      <c r="P12" s="1"/>
      <c r="Q12" s="1"/>
      <c r="R12" s="98"/>
    </row>
    <row r="13" spans="2:22" x14ac:dyDescent="0.2">
      <c r="G13" s="179" t="str">
        <f>IF('Input Data'!G47&gt;0.001,"Capital and Cost Data: User Adjusted","")</f>
        <v/>
      </c>
      <c r="N13" s="1"/>
      <c r="P13" s="179" t="str">
        <f>IF('Input Data'!G83&gt;0.001,"Revenue Variables: User Adjusted","")</f>
        <v/>
      </c>
    </row>
    <row r="14" spans="2:22" x14ac:dyDescent="0.2">
      <c r="K14" s="179" t="str">
        <f>IF('Input Data'!G70&gt;0.001,"Operating Data: User Adjusted","")</f>
        <v/>
      </c>
      <c r="N14" s="1"/>
    </row>
    <row r="15" spans="2:22" x14ac:dyDescent="0.2">
      <c r="K15" s="177"/>
      <c r="N15" s="1"/>
    </row>
    <row r="16" spans="2:22" ht="13.5" thickBot="1" x14ac:dyDescent="0.25"/>
    <row r="17" spans="2:39"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Data'!D102</f>
        <v>2012</v>
      </c>
      <c r="J18" s="78">
        <f>'Input Data'!D103</f>
        <v>2013</v>
      </c>
      <c r="K18" s="78">
        <f>'Input Data'!D104</f>
        <v>2014</v>
      </c>
      <c r="L18" s="78">
        <f>'Input Data'!D105</f>
        <v>2015</v>
      </c>
      <c r="M18" s="78">
        <f>'Input Data'!D106</f>
        <v>2016</v>
      </c>
      <c r="N18" s="78">
        <f>'Input Data'!D107</f>
        <v>2017</v>
      </c>
      <c r="O18" s="78">
        <f>'Input Data'!D108</f>
        <v>2018</v>
      </c>
      <c r="P18" s="78">
        <f>'Input Data'!D109</f>
        <v>2019</v>
      </c>
      <c r="Q18" s="78">
        <f>'Input Data'!D110</f>
        <v>2020</v>
      </c>
      <c r="R18" s="78">
        <f>'Input Data'!D111</f>
        <v>2021</v>
      </c>
      <c r="S18" s="78">
        <f>'Input Data'!D112</f>
        <v>2022</v>
      </c>
      <c r="T18" s="78">
        <f>'Input Data'!D113</f>
        <v>2023</v>
      </c>
      <c r="U18" s="78">
        <f>'Input Data'!D114</f>
        <v>2024</v>
      </c>
      <c r="V18" s="78">
        <f>'Input Data'!D115</f>
        <v>2025</v>
      </c>
      <c r="W18" s="78">
        <f>'Input Data'!D116</f>
        <v>2026</v>
      </c>
      <c r="X18" s="78">
        <f>'Input Data'!D117</f>
        <v>2027</v>
      </c>
      <c r="Y18" s="78">
        <f>'Input Data'!D118</f>
        <v>2028</v>
      </c>
      <c r="Z18" s="78">
        <f>'Input Data'!D119</f>
        <v>2029</v>
      </c>
      <c r="AA18" s="78">
        <f>'Input Data'!D120</f>
        <v>2030</v>
      </c>
      <c r="AB18" s="78">
        <f>'Input Data'!D121</f>
        <v>2031</v>
      </c>
      <c r="AC18" s="78">
        <f>'Input Data'!D122</f>
        <v>2032</v>
      </c>
      <c r="AD18" s="78">
        <f>'Input Data'!D123</f>
        <v>2033</v>
      </c>
      <c r="AE18" s="78">
        <f>'Input Data'!D124</f>
        <v>2034</v>
      </c>
      <c r="AF18" s="78">
        <f>'Input Data'!D125</f>
        <v>2035</v>
      </c>
      <c r="AG18" s="78">
        <f>'Input Data'!D126</f>
        <v>2036</v>
      </c>
      <c r="AH18" s="78">
        <f>'Input Data'!D127</f>
        <v>2037</v>
      </c>
      <c r="AI18" s="78">
        <f>'Input Data'!D128</f>
        <v>2038</v>
      </c>
      <c r="AJ18" s="78">
        <f>'Input Data'!D129</f>
        <v>2039</v>
      </c>
      <c r="AK18" s="78">
        <f>'Input Data'!D130</f>
        <v>2040</v>
      </c>
      <c r="AL18" s="78">
        <f>'Input Data'!D131</f>
        <v>2041</v>
      </c>
      <c r="AM18" s="79">
        <f>'Input Data'!D132</f>
        <v>2042</v>
      </c>
    </row>
    <row r="19" spans="2:39" ht="13.5" thickBot="1" x14ac:dyDescent="0.25">
      <c r="B19" s="1" t="s">
        <v>12</v>
      </c>
      <c r="F19" s="190" t="s">
        <v>169</v>
      </c>
      <c r="G19" s="188" t="s">
        <v>168</v>
      </c>
      <c r="H19" s="188" t="s">
        <v>167</v>
      </c>
      <c r="I19" s="188" t="str">
        <f>'Input Data'!C102</f>
        <v>Year 1</v>
      </c>
      <c r="J19" s="188" t="str">
        <f>'Input Data'!C103</f>
        <v>Year 2</v>
      </c>
      <c r="K19" s="188" t="str">
        <f>'Input Data'!C104</f>
        <v>Year 3</v>
      </c>
      <c r="L19" s="188" t="str">
        <f>'Input Data'!C105</f>
        <v>Year 4</v>
      </c>
      <c r="M19" s="188" t="str">
        <f>'Input Data'!C106</f>
        <v>Year 5</v>
      </c>
      <c r="N19" s="188" t="str">
        <f>'Input Data'!C107</f>
        <v>Year 6</v>
      </c>
      <c r="O19" s="188" t="str">
        <f>'Input Data'!C108</f>
        <v>Year 7</v>
      </c>
      <c r="P19" s="188" t="str">
        <f>'Input Data'!C109</f>
        <v>Year 8</v>
      </c>
      <c r="Q19" s="188" t="str">
        <f>'Input Data'!C110</f>
        <v>Year 9</v>
      </c>
      <c r="R19" s="188" t="str">
        <f>'Input Data'!C111</f>
        <v>Year 10</v>
      </c>
      <c r="S19" s="188" t="str">
        <f>'Input Data'!C112</f>
        <v>Year 11</v>
      </c>
      <c r="T19" s="188" t="str">
        <f>'Input Data'!C113</f>
        <v>Year 12</v>
      </c>
      <c r="U19" s="188" t="str">
        <f>'Input Data'!C114</f>
        <v>Year 13</v>
      </c>
      <c r="V19" s="188" t="str">
        <f>'Input Data'!C115</f>
        <v>Year 14</v>
      </c>
      <c r="W19" s="188" t="str">
        <f>'Input Data'!C116</f>
        <v>Year 15</v>
      </c>
      <c r="X19" s="188" t="str">
        <f>'Input Data'!C117</f>
        <v>Year 16</v>
      </c>
      <c r="Y19" s="188" t="str">
        <f>'Input Data'!C118</f>
        <v>Year 17</v>
      </c>
      <c r="Z19" s="188" t="str">
        <f>'Input Data'!C119</f>
        <v>Year 18</v>
      </c>
      <c r="AA19" s="188" t="str">
        <f>'Input Data'!C120</f>
        <v>Year 19</v>
      </c>
      <c r="AB19" s="188" t="str">
        <f>'Input Data'!C121</f>
        <v>Year 20</v>
      </c>
      <c r="AC19" s="188" t="str">
        <f>'Input Data'!C122</f>
        <v>Year 21</v>
      </c>
      <c r="AD19" s="188" t="str">
        <f>'Input Data'!C123</f>
        <v>Year 22</v>
      </c>
      <c r="AE19" s="188" t="str">
        <f>'Input Data'!C124</f>
        <v>Year 23</v>
      </c>
      <c r="AF19" s="188" t="str">
        <f>'Input Data'!C125</f>
        <v>Year 24</v>
      </c>
      <c r="AG19" s="188" t="str">
        <f>'Input Data'!C126</f>
        <v>Year 25</v>
      </c>
      <c r="AH19" s="188" t="str">
        <f>'Input Data'!C127</f>
        <v>Year 26</v>
      </c>
      <c r="AI19" s="188" t="str">
        <f>'Input Data'!C128</f>
        <v>Year 27</v>
      </c>
      <c r="AJ19" s="188" t="str">
        <f>'Input Data'!C129</f>
        <v>Year 28</v>
      </c>
      <c r="AK19" s="188" t="str">
        <f>'Input Data'!C130</f>
        <v>Year 29</v>
      </c>
      <c r="AL19" s="188" t="str">
        <f>'Input Data'!C131</f>
        <v>Year 30</v>
      </c>
      <c r="AM19" s="189" t="str">
        <f>'Input Data'!C132</f>
        <v>Year 31</v>
      </c>
    </row>
    <row r="21" spans="2:39" x14ac:dyDescent="0.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9" x14ac:dyDescent="0.2">
      <c r="B22" s="1" t="s">
        <v>151</v>
      </c>
      <c r="F22" s="80"/>
      <c r="G22" s="80"/>
      <c r="H22" s="80"/>
      <c r="I22" s="80">
        <f>IF(I19="Year 1",'Input Data'!E102,"")</f>
        <v>1</v>
      </c>
      <c r="J22" s="80">
        <f>'Input Data'!E103</f>
        <v>1</v>
      </c>
      <c r="K22" s="80">
        <f>'Input Data'!E104</f>
        <v>1</v>
      </c>
      <c r="L22" s="80">
        <f>'Input Data'!E105</f>
        <v>1</v>
      </c>
      <c r="M22" s="80">
        <f>'Input Data'!E106</f>
        <v>1</v>
      </c>
      <c r="N22" s="80">
        <f>'Input Data'!E107</f>
        <v>1</v>
      </c>
      <c r="O22" s="80">
        <f>'Input Data'!E108</f>
        <v>1</v>
      </c>
      <c r="P22" s="80">
        <f>'Input Data'!E109</f>
        <v>1</v>
      </c>
      <c r="Q22" s="80">
        <f>'Input Data'!E110</f>
        <v>1</v>
      </c>
      <c r="R22" s="80">
        <f>'Input Data'!E111</f>
        <v>1</v>
      </c>
      <c r="S22" s="80">
        <f>'Input Data'!E112</f>
        <v>1</v>
      </c>
      <c r="T22" s="80">
        <f>'Input Data'!E113</f>
        <v>1</v>
      </c>
      <c r="U22" s="80">
        <f>'Input Data'!E114</f>
        <v>1</v>
      </c>
      <c r="V22" s="80">
        <f>'Input Data'!E115</f>
        <v>1</v>
      </c>
      <c r="W22" s="80">
        <f>'Input Data'!E116</f>
        <v>1</v>
      </c>
      <c r="X22" s="80">
        <f>'Input Data'!E117</f>
        <v>1</v>
      </c>
      <c r="Y22" s="80">
        <f>'Input Data'!E118</f>
        <v>1</v>
      </c>
      <c r="Z22" s="80">
        <f>'Input Data'!E119</f>
        <v>1</v>
      </c>
      <c r="AA22" s="80">
        <f>'Input Data'!E120</f>
        <v>1</v>
      </c>
      <c r="AB22" s="80">
        <f>IF(AB19="Year 20",'Input Data'!E121,"")</f>
        <v>1</v>
      </c>
      <c r="AC22" s="80">
        <f>IF('Input Data'!G89&gt;20,'Input Data'!E122,"")</f>
        <v>1</v>
      </c>
      <c r="AD22" s="80">
        <f>IF(AD19="Year 22",'Input Data'!E123,"")</f>
        <v>1</v>
      </c>
      <c r="AE22" s="80">
        <f>IF(AE19="Year 23",'Input Data'!E124,"")</f>
        <v>1</v>
      </c>
      <c r="AF22" s="80">
        <f>IF(AF19="Year 24",'Input Data'!E125,"")</f>
        <v>1</v>
      </c>
      <c r="AG22" s="80">
        <f>IF(AG19="Year 25",'Input Data'!E126,"")</f>
        <v>1</v>
      </c>
      <c r="AH22" s="80">
        <f>IF('Input Data'!G89&gt;25,'Input Data'!E127,"")</f>
        <v>1</v>
      </c>
      <c r="AI22" s="80">
        <f>IF(AI19="Year 27",'Input Data'!E128,"")</f>
        <v>1</v>
      </c>
      <c r="AJ22" s="80">
        <f>IF(AJ19="Year 28",'Input Data'!E129,"")</f>
        <v>1</v>
      </c>
      <c r="AK22" s="80">
        <f>IF(AK19="Year 29",'Input Data'!E130,"")</f>
        <v>1</v>
      </c>
      <c r="AL22" s="80">
        <f>IF(AL19="Year 30",'Input Data'!E131,"")</f>
        <v>1</v>
      </c>
      <c r="AM22" s="80" t="str">
        <f>IF('Input Data'!G89&gt;30,'Input Data'!E132,"")</f>
        <v/>
      </c>
    </row>
    <row r="23" spans="2:39" x14ac:dyDescent="0.2">
      <c r="B23" s="1" t="s">
        <v>152</v>
      </c>
      <c r="F23" s="80"/>
      <c r="G23" s="80"/>
      <c r="H23" s="80"/>
      <c r="I23" s="80">
        <f>IF(I19="Year 1",'Input Data'!F102,"")</f>
        <v>1</v>
      </c>
      <c r="J23" s="80">
        <f>'Input Data'!F103</f>
        <v>1</v>
      </c>
      <c r="K23" s="80">
        <f>'Input Data'!F104</f>
        <v>1</v>
      </c>
      <c r="L23" s="80">
        <f>'Input Data'!F105</f>
        <v>1</v>
      </c>
      <c r="M23" s="80">
        <f>'Input Data'!F106</f>
        <v>1</v>
      </c>
      <c r="N23" s="80">
        <f>'Input Data'!F107</f>
        <v>1</v>
      </c>
      <c r="O23" s="80">
        <f>'Input Data'!F108</f>
        <v>1</v>
      </c>
      <c r="P23" s="80">
        <f>'Input Data'!F109</f>
        <v>1</v>
      </c>
      <c r="Q23" s="80">
        <f>'Input Data'!F110</f>
        <v>1</v>
      </c>
      <c r="R23" s="80">
        <f>'Input Data'!F111</f>
        <v>1</v>
      </c>
      <c r="S23" s="80">
        <f>'Input Data'!F112</f>
        <v>1</v>
      </c>
      <c r="T23" s="80">
        <f>'Input Data'!F113</f>
        <v>1</v>
      </c>
      <c r="U23" s="80">
        <f>'Input Data'!F114</f>
        <v>1</v>
      </c>
      <c r="V23" s="80">
        <f>'Input Data'!F115</f>
        <v>1</v>
      </c>
      <c r="W23" s="80">
        <f>'Input Data'!F116</f>
        <v>1</v>
      </c>
      <c r="X23" s="80">
        <f>'Input Data'!F117</f>
        <v>1</v>
      </c>
      <c r="Y23" s="80">
        <f>'Input Data'!F118</f>
        <v>1</v>
      </c>
      <c r="Z23" s="80">
        <f>'Input Data'!F119</f>
        <v>1</v>
      </c>
      <c r="AA23" s="80">
        <f>'Input Data'!F120</f>
        <v>1</v>
      </c>
      <c r="AB23" s="80">
        <f>IF(AB19="Year 20",'Input Data'!F121,"")</f>
        <v>1</v>
      </c>
      <c r="AC23" s="80">
        <f>IF('Input Data'!G89&gt;20,'Input Data'!F122,"")</f>
        <v>1</v>
      </c>
      <c r="AD23" s="80">
        <f>IF(AD19="Year 22",'Input Data'!F123,"")</f>
        <v>1</v>
      </c>
      <c r="AE23" s="80">
        <f>IF(AE19="Year 23",'Input Data'!F124,"")</f>
        <v>1</v>
      </c>
      <c r="AF23" s="80">
        <f>IF(AF19="Year 24",'Input Data'!F125,"")</f>
        <v>1</v>
      </c>
      <c r="AG23" s="80">
        <f>IF(AG19="Year 25",'Input Data'!F126,"")</f>
        <v>1</v>
      </c>
      <c r="AH23" s="80">
        <f>IF('Input Data'!G89&gt;25,'Input Data'!F127,"")</f>
        <v>1</v>
      </c>
      <c r="AI23" s="80">
        <f>IF(AI19="Year 27",'Input Data'!F128,"")</f>
        <v>1</v>
      </c>
      <c r="AJ23" s="80">
        <f>IF(AJ19="Year 28",'Input Data'!F129,"")</f>
        <v>1</v>
      </c>
      <c r="AK23" s="80">
        <f>IF(AK19="Year 29",'Input Data'!F130,"")</f>
        <v>1</v>
      </c>
      <c r="AL23" s="80">
        <f>IF(AL19="Year 30",'Input Data'!F131,"")</f>
        <v>1</v>
      </c>
      <c r="AM23" s="80" t="str">
        <f>IF('Input Data'!G89&gt;30,'Input Data'!F132,"")</f>
        <v/>
      </c>
    </row>
    <row r="24" spans="2:39" x14ac:dyDescent="0.2">
      <c r="B24" s="1" t="s">
        <v>153</v>
      </c>
      <c r="F24" s="80"/>
      <c r="G24" s="80"/>
      <c r="H24" s="80"/>
      <c r="I24" s="80">
        <f>IF(I19="Year 1",'Input Data'!G102,"")</f>
        <v>0.65</v>
      </c>
      <c r="J24" s="80">
        <f>'Input Data'!G103</f>
        <v>0.75</v>
      </c>
      <c r="K24" s="80">
        <f>'Input Data'!G104</f>
        <v>0.85</v>
      </c>
      <c r="L24" s="80">
        <f>'Input Data'!G105</f>
        <v>0.85</v>
      </c>
      <c r="M24" s="80">
        <f>'Input Data'!G106</f>
        <v>0.85</v>
      </c>
      <c r="N24" s="80">
        <f>'Input Data'!G107</f>
        <v>0.85</v>
      </c>
      <c r="O24" s="80">
        <f>'Input Data'!G108</f>
        <v>0.85</v>
      </c>
      <c r="P24" s="80">
        <f>'Input Data'!G109</f>
        <v>0.85</v>
      </c>
      <c r="Q24" s="80">
        <f>'Input Data'!G110</f>
        <v>0.85</v>
      </c>
      <c r="R24" s="80">
        <f>'Input Data'!G111</f>
        <v>0.85</v>
      </c>
      <c r="S24" s="80">
        <f>'Input Data'!G112</f>
        <v>0.85</v>
      </c>
      <c r="T24" s="80">
        <f>'Input Data'!G113</f>
        <v>0.85</v>
      </c>
      <c r="U24" s="80">
        <f>'Input Data'!G114</f>
        <v>0.85</v>
      </c>
      <c r="V24" s="80">
        <f>'Input Data'!G115</f>
        <v>0.85</v>
      </c>
      <c r="W24" s="80">
        <f>'Input Data'!G116</f>
        <v>0.85</v>
      </c>
      <c r="X24" s="80">
        <f>'Input Data'!G117</f>
        <v>0.85</v>
      </c>
      <c r="Y24" s="80">
        <f>'Input Data'!G118</f>
        <v>0.85</v>
      </c>
      <c r="Z24" s="80">
        <f>'Input Data'!G119</f>
        <v>0.85</v>
      </c>
      <c r="AA24" s="80">
        <f>'Input Data'!G120</f>
        <v>0.85</v>
      </c>
      <c r="AB24" s="80">
        <f>IF(AB19="Year 20",'Input Data'!G121,"")</f>
        <v>0.85</v>
      </c>
      <c r="AC24" s="80">
        <f>IF('Input Data'!G89&gt;20,'Input Data'!G122,"")</f>
        <v>0.85</v>
      </c>
      <c r="AD24" s="80">
        <f>IF(AD19="Year 22",'Input Data'!G123,"")</f>
        <v>0.85</v>
      </c>
      <c r="AE24" s="80">
        <f>IF(AE19="Year 23",'Input Data'!G124,"")</f>
        <v>0.85</v>
      </c>
      <c r="AF24" s="80">
        <f>IF(AF19="Year 24",'Input Data'!G125,"")</f>
        <v>0.85</v>
      </c>
      <c r="AG24" s="80">
        <f>IF(AG19="Year 25",'Input Data'!G126,"")</f>
        <v>0.85</v>
      </c>
      <c r="AH24" s="80">
        <f>IF('Input Data'!G89&gt;25,'Input Data'!G127,"")</f>
        <v>0.85</v>
      </c>
      <c r="AI24" s="80">
        <f>IF(AI19="Year 27",'Input Data'!G128,"")</f>
        <v>0.85</v>
      </c>
      <c r="AJ24" s="80">
        <f>IF(AJ19="Year 28",'Input Data'!G129,"")</f>
        <v>0.85</v>
      </c>
      <c r="AK24" s="80">
        <f>IF(AK19="Year 29",'Input Data'!G130,"")</f>
        <v>0.85</v>
      </c>
      <c r="AL24" s="80">
        <f>IF(AL19="Year 30",'Input Data'!G131,"")</f>
        <v>0.85</v>
      </c>
      <c r="AM24" s="80" t="str">
        <f>IF('Input Data'!G89&gt;30,'Input Data'!G132,"")</f>
        <v/>
      </c>
    </row>
    <row r="25" spans="2:39" x14ac:dyDescent="0.2">
      <c r="B25" s="1" t="s">
        <v>154</v>
      </c>
      <c r="F25" s="80"/>
      <c r="G25" s="80"/>
      <c r="H25" s="80"/>
      <c r="I25" s="80">
        <f>IF(I19="Year 1",'Input Data'!H102,"")</f>
        <v>0.65</v>
      </c>
      <c r="J25" s="80">
        <f>'Input Data'!H103</f>
        <v>0.75</v>
      </c>
      <c r="K25" s="80">
        <f>'Input Data'!H104</f>
        <v>0.85</v>
      </c>
      <c r="L25" s="80">
        <f>'Input Data'!H105</f>
        <v>0.85</v>
      </c>
      <c r="M25" s="80">
        <f>'Input Data'!H106</f>
        <v>0.85</v>
      </c>
      <c r="N25" s="80">
        <f>'Input Data'!H107</f>
        <v>0.85</v>
      </c>
      <c r="O25" s="80">
        <f>'Input Data'!H108</f>
        <v>0.85</v>
      </c>
      <c r="P25" s="80">
        <f>'Input Data'!H109</f>
        <v>0.85</v>
      </c>
      <c r="Q25" s="80">
        <f>'Input Data'!H110</f>
        <v>0.85</v>
      </c>
      <c r="R25" s="80">
        <f>'Input Data'!H111</f>
        <v>0.85</v>
      </c>
      <c r="S25" s="80">
        <f>'Input Data'!H112</f>
        <v>0.85</v>
      </c>
      <c r="T25" s="80">
        <f>'Input Data'!H113</f>
        <v>0.85</v>
      </c>
      <c r="U25" s="80">
        <f>'Input Data'!H114</f>
        <v>0.85</v>
      </c>
      <c r="V25" s="80">
        <f>'Input Data'!H115</f>
        <v>0.85</v>
      </c>
      <c r="W25" s="80">
        <f>'Input Data'!H116</f>
        <v>0.85</v>
      </c>
      <c r="X25" s="80">
        <f>'Input Data'!H117</f>
        <v>0.85</v>
      </c>
      <c r="Y25" s="80">
        <f>'Input Data'!H118</f>
        <v>0.85</v>
      </c>
      <c r="Z25" s="80">
        <f>'Input Data'!H119</f>
        <v>0.85</v>
      </c>
      <c r="AA25" s="80">
        <f>'Input Data'!H120</f>
        <v>0.85</v>
      </c>
      <c r="AB25" s="80">
        <f>IF(AB19="Year 20",'Input Data'!H121,"")</f>
        <v>0.85</v>
      </c>
      <c r="AC25" s="80">
        <f>IF('Input Data'!G89&gt;20,'Input Data'!H122,"")</f>
        <v>0.85</v>
      </c>
      <c r="AD25" s="80">
        <f>IF(AD19="Year 22",'Input Data'!H123,"")</f>
        <v>0.85</v>
      </c>
      <c r="AE25" s="80">
        <f>IF(AE19="Year 23",'Input Data'!H124,"")</f>
        <v>0.85</v>
      </c>
      <c r="AF25" s="80">
        <f>IF(AF19="Year 24",'Input Data'!H125,"")</f>
        <v>0.85</v>
      </c>
      <c r="AG25" s="80">
        <f>IF(AG19="Year 25",'Input Data'!H126,"")</f>
        <v>0.85</v>
      </c>
      <c r="AH25" s="80">
        <f>IF('Input Data'!G89&gt;25,'Input Data'!H127,"")</f>
        <v>0.85</v>
      </c>
      <c r="AI25" s="80">
        <f>IF(AI19="Year 27",'Input Data'!H128,"")</f>
        <v>0.85</v>
      </c>
      <c r="AJ25" s="80">
        <f>IF(AJ19="Year 28",'Input Data'!H129,"")</f>
        <v>0.85</v>
      </c>
      <c r="AK25" s="80">
        <f>IF(AK19="Year 29",'Input Data'!H130,"")</f>
        <v>0.85</v>
      </c>
      <c r="AL25" s="80">
        <f>IF(AL19="Year 30",'Input Data'!H131,"")</f>
        <v>0.85</v>
      </c>
      <c r="AM25" s="80" t="str">
        <f>IF('Input Data'!G89&gt;30,'Input Data'!H132,"")</f>
        <v/>
      </c>
    </row>
    <row r="26" spans="2:39" x14ac:dyDescent="0.2">
      <c r="B26" s="2" t="s">
        <v>155</v>
      </c>
      <c r="F26" s="3"/>
      <c r="G26" s="3"/>
      <c r="H26" s="3"/>
      <c r="I26" s="101">
        <f t="shared" ref="I26:K27" si="0">I22*8760*I24</f>
        <v>5694</v>
      </c>
      <c r="J26" s="101">
        <f t="shared" si="0"/>
        <v>6570</v>
      </c>
      <c r="K26" s="101">
        <f t="shared" si="0"/>
        <v>7446</v>
      </c>
      <c r="L26" s="101">
        <f t="shared" ref="L26:AA26" si="1">L22*8760*L24</f>
        <v>7446</v>
      </c>
      <c r="M26" s="101">
        <f t="shared" si="1"/>
        <v>7446</v>
      </c>
      <c r="N26" s="101">
        <f t="shared" si="1"/>
        <v>7446</v>
      </c>
      <c r="O26" s="101">
        <f t="shared" si="1"/>
        <v>7446</v>
      </c>
      <c r="P26" s="101">
        <f t="shared" si="1"/>
        <v>7446</v>
      </c>
      <c r="Q26" s="101">
        <f t="shared" si="1"/>
        <v>7446</v>
      </c>
      <c r="R26" s="101">
        <f t="shared" si="1"/>
        <v>7446</v>
      </c>
      <c r="S26" s="101">
        <f t="shared" si="1"/>
        <v>7446</v>
      </c>
      <c r="T26" s="101">
        <f t="shared" si="1"/>
        <v>7446</v>
      </c>
      <c r="U26" s="101">
        <f t="shared" si="1"/>
        <v>7446</v>
      </c>
      <c r="V26" s="101">
        <f t="shared" si="1"/>
        <v>7446</v>
      </c>
      <c r="W26" s="101">
        <f t="shared" si="1"/>
        <v>7446</v>
      </c>
      <c r="X26" s="101">
        <f t="shared" si="1"/>
        <v>7446</v>
      </c>
      <c r="Y26" s="101">
        <f t="shared" si="1"/>
        <v>7446</v>
      </c>
      <c r="Z26" s="101">
        <f t="shared" si="1"/>
        <v>7446</v>
      </c>
      <c r="AA26" s="101">
        <f t="shared" si="1"/>
        <v>7446</v>
      </c>
      <c r="AB26" s="101">
        <f>IF(AB19="Year 20",AB22*8760*AB24,"")</f>
        <v>7446</v>
      </c>
      <c r="AC26" s="101">
        <f>IF('Input Data'!G89&gt;20,AC22*8760*AC24,"")</f>
        <v>7446</v>
      </c>
      <c r="AD26" s="101">
        <f>IF(AD19="Year 22",AD22*8760*AD24,"")</f>
        <v>7446</v>
      </c>
      <c r="AE26" s="101">
        <f>IF(AE19="Year 23",AE22*8760*AE24,"")</f>
        <v>7446</v>
      </c>
      <c r="AF26" s="101">
        <f>IF(AF19="Year 24",AF22*8760*AF24,"")</f>
        <v>7446</v>
      </c>
      <c r="AG26" s="101">
        <f>IF(AG19="Year 25",AG22*8760*AG24,"")</f>
        <v>7446</v>
      </c>
      <c r="AH26" s="101">
        <f>IF('Input Data'!G89&gt;25,AH22*8760*AH24,"")</f>
        <v>7446</v>
      </c>
      <c r="AI26" s="101">
        <f>IF(AI19="Year 27",AI22*8760*AI24,"")</f>
        <v>7446</v>
      </c>
      <c r="AJ26" s="101">
        <f>IF(AJ19="Year 28",AJ22*8760*AJ24,"")</f>
        <v>7446</v>
      </c>
      <c r="AK26" s="101">
        <f>IF(AK19="Year 29",AK22*8760*AK24,"")</f>
        <v>7446</v>
      </c>
      <c r="AL26" s="101">
        <f>IF(AL19="Year 30",AL22*8760*AL24,"")</f>
        <v>7446</v>
      </c>
      <c r="AM26" s="101" t="str">
        <f>IF('Input Data'!G89&gt;30,AM22*8760*AM24,"")</f>
        <v/>
      </c>
    </row>
    <row r="27" spans="2:39" x14ac:dyDescent="0.2">
      <c r="B27" s="2" t="s">
        <v>156</v>
      </c>
      <c r="F27" s="3"/>
      <c r="G27" s="3"/>
      <c r="H27" s="3"/>
      <c r="I27" s="101">
        <f t="shared" si="0"/>
        <v>5694</v>
      </c>
      <c r="J27" s="101">
        <f t="shared" si="0"/>
        <v>6570</v>
      </c>
      <c r="K27" s="101">
        <f t="shared" si="0"/>
        <v>7446</v>
      </c>
      <c r="L27" s="101">
        <f t="shared" ref="L27:AA27" si="2">L23*8760*L25</f>
        <v>7446</v>
      </c>
      <c r="M27" s="101">
        <f t="shared" si="2"/>
        <v>7446</v>
      </c>
      <c r="N27" s="101">
        <f t="shared" si="2"/>
        <v>7446</v>
      </c>
      <c r="O27" s="101">
        <f t="shared" si="2"/>
        <v>7446</v>
      </c>
      <c r="P27" s="101">
        <f t="shared" si="2"/>
        <v>7446</v>
      </c>
      <c r="Q27" s="101">
        <f t="shared" si="2"/>
        <v>7446</v>
      </c>
      <c r="R27" s="101">
        <f t="shared" si="2"/>
        <v>7446</v>
      </c>
      <c r="S27" s="101">
        <f t="shared" si="2"/>
        <v>7446</v>
      </c>
      <c r="T27" s="101">
        <f t="shared" si="2"/>
        <v>7446</v>
      </c>
      <c r="U27" s="101">
        <f t="shared" si="2"/>
        <v>7446</v>
      </c>
      <c r="V27" s="101">
        <f t="shared" si="2"/>
        <v>7446</v>
      </c>
      <c r="W27" s="101">
        <f t="shared" si="2"/>
        <v>7446</v>
      </c>
      <c r="X27" s="101">
        <f t="shared" si="2"/>
        <v>7446</v>
      </c>
      <c r="Y27" s="101">
        <f t="shared" si="2"/>
        <v>7446</v>
      </c>
      <c r="Z27" s="101">
        <f t="shared" si="2"/>
        <v>7446</v>
      </c>
      <c r="AA27" s="101">
        <f t="shared" si="2"/>
        <v>7446</v>
      </c>
      <c r="AB27" s="101">
        <f>IF(AB19="Year 20",AB23*8760*AB25,"")</f>
        <v>7446</v>
      </c>
      <c r="AC27" s="101">
        <f>IF('Input Data'!G89&gt;20,AC23*8760*AC25,"")</f>
        <v>7446</v>
      </c>
      <c r="AD27" s="101">
        <f>IF(AD19="Year 22",AD23*8760*AD25,"")</f>
        <v>7446</v>
      </c>
      <c r="AE27" s="101">
        <f>IF(AE19="Year 23",AE23*8760*AE25,"")</f>
        <v>7446</v>
      </c>
      <c r="AF27" s="101">
        <f>IF(AF19="Year 24",AF23*8760*AF25,"")</f>
        <v>7446</v>
      </c>
      <c r="AG27" s="101">
        <f>IF(AG19="Year 25",AG23*8760*AG25,"")</f>
        <v>7446</v>
      </c>
      <c r="AH27" s="101">
        <f>IF('Input Data'!G89&gt;25,AH23*8760*AH25,"")</f>
        <v>7446</v>
      </c>
      <c r="AI27" s="101">
        <f>IF(AI19="Year 27",AI23*8760*AI25,"")</f>
        <v>7446</v>
      </c>
      <c r="AJ27" s="101">
        <f>IF(AJ19="Year 28",AJ23*8760*AJ25,"")</f>
        <v>7446</v>
      </c>
      <c r="AK27" s="101">
        <f>IF(AK19="Year 29",AK23*8760*AK25,"")</f>
        <v>7446</v>
      </c>
      <c r="AL27" s="101">
        <f>IF(AL19="Year 30",AL23*8760*AL25,"")</f>
        <v>7446</v>
      </c>
      <c r="AM27" s="101" t="str">
        <f>IF('Input Data'!G89&gt;30,AM23*8760*AM25,"")</f>
        <v/>
      </c>
    </row>
    <row r="28" spans="2:39" x14ac:dyDescent="0.2">
      <c r="B28" s="1" t="s">
        <v>209</v>
      </c>
      <c r="E28" t="s">
        <v>207</v>
      </c>
      <c r="F28" s="3"/>
      <c r="G28" s="3"/>
      <c r="H28" s="3"/>
      <c r="I28" s="87">
        <f>IF(((I26-I27)*'Input Data'!$G$38&gt;0),(I26-I27)*'Input Data'!$G$38,0)</f>
        <v>0</v>
      </c>
      <c r="J28" s="87">
        <f>IF(((J26-J27)*'Input Data'!$G$38&gt;0),(J26-J27)*'Input Data'!$G$38,0)</f>
        <v>0</v>
      </c>
      <c r="K28" s="87">
        <f>IF(((K26-K27)*'Input Data'!$G$38&gt;0),(K26-K27)*'Input Data'!$G$38,0)</f>
        <v>0</v>
      </c>
      <c r="L28" s="87">
        <f>IF(((L26-L27)*'Input Data'!$G$38&gt;0),(L26-L27)*'Input Data'!$G$38,0)</f>
        <v>0</v>
      </c>
      <c r="M28" s="87">
        <f>IF(((M26-M27)*'Input Data'!$G$38&gt;0),(M26-M27)*'Input Data'!$G$38,0)</f>
        <v>0</v>
      </c>
      <c r="N28" s="87">
        <f>IF(((N26-N27)*'Input Data'!$G$38&gt;0),(N26-N27)*'Input Data'!$G$38,0)</f>
        <v>0</v>
      </c>
      <c r="O28" s="87">
        <f>IF(((O26-O27)*'Input Data'!$G$38&gt;0),(O26-O27)*'Input Data'!$G$38,0)</f>
        <v>0</v>
      </c>
      <c r="P28" s="87">
        <f>IF(((P26-P27)*'Input Data'!$G$38&gt;0),(P26-P27)*'Input Data'!$G$38,0)</f>
        <v>0</v>
      </c>
      <c r="Q28" s="87">
        <f>IF(((Q26-Q27)*'Input Data'!$G$38&gt;0),(Q26-Q27)*'Input Data'!$G$38,0)</f>
        <v>0</v>
      </c>
      <c r="R28" s="87">
        <f>IF(((R26-R27)*'Input Data'!$G$38&gt;0),(R26-R27)*'Input Data'!$G$38,0)</f>
        <v>0</v>
      </c>
      <c r="S28" s="87">
        <f>IF(((S26-S27)*'Input Data'!$G$38&gt;0),(S26-S27)*'Input Data'!$G$38,0)</f>
        <v>0</v>
      </c>
      <c r="T28" s="87">
        <f>IF(((T26-T27)*'Input Data'!$G$38&gt;0),(T26-T27)*'Input Data'!$G$38,0)</f>
        <v>0</v>
      </c>
      <c r="U28" s="87">
        <f>IF(((U26-U27)*'Input Data'!$G$38&gt;0),(U26-U27)*'Input Data'!$G$38,0)</f>
        <v>0</v>
      </c>
      <c r="V28" s="87">
        <f>IF(((V26-V27)*'Input Data'!$G$38&gt;0),(V26-V27)*'Input Data'!$G$38,0)</f>
        <v>0</v>
      </c>
      <c r="W28" s="87">
        <f>IF(((W26-W27)*'Input Data'!$G$38&gt;0),(W26-W27)*'Input Data'!$G$38,0)</f>
        <v>0</v>
      </c>
      <c r="X28" s="87">
        <f>IF(((X26-X27)*'Input Data'!$G$38&gt;0),(X26-X27)*'Input Data'!$G$38,0)</f>
        <v>0</v>
      </c>
      <c r="Y28" s="87">
        <f>IF(((Y26-Y27)*'Input Data'!$G$38&gt;0),(Y26-Y27)*'Input Data'!$G$38,0)</f>
        <v>0</v>
      </c>
      <c r="Z28" s="87">
        <f>IF(((Z26-Z27)*'Input Data'!$G$38&gt;0),(Z26-Z27)*'Input Data'!$G$38,0)</f>
        <v>0</v>
      </c>
      <c r="AA28" s="87">
        <f>IF(((AA26-AA27)*'Input Data'!$G$38&gt;0),(AA26-AA27)*'Input Data'!$G$38,0)</f>
        <v>0</v>
      </c>
      <c r="AB28" s="87">
        <f>IF(((AB26-AB27)*'Input Data'!$G$38&gt;0),(AB26-AB27)*'Input Data'!$G$38,0)</f>
        <v>0</v>
      </c>
      <c r="AC28" s="87">
        <f>IF('Input Data'!$G$89&gt;20,IF(((AC26-AC27)*'Input Data'!$G$38&gt;0),(AC26-AC27)*'Input Data'!$G$38,0),"")</f>
        <v>0</v>
      </c>
      <c r="AD28" s="87">
        <f>IF('Input Data'!$G$89&gt;20,IF(((AD26-AD27)*'Input Data'!$G$38&gt;0),(AD26-AD27)*'Input Data'!$G$38,0),"")</f>
        <v>0</v>
      </c>
      <c r="AE28" s="87">
        <f>IF('Input Data'!$G$89&gt;20,IF(((AE26-AE27)*'Input Data'!$G$38&gt;0),(AE26-AE27)*'Input Data'!$G$38,0),"")</f>
        <v>0</v>
      </c>
      <c r="AF28" s="87">
        <f>IF('Input Data'!$G$89&gt;20,IF(((AF26-AF27)*'Input Data'!$G$38&gt;0),(AF26-AF27)*'Input Data'!$G$38,0),"")</f>
        <v>0</v>
      </c>
      <c r="AG28" s="87">
        <f>IF('Input Data'!$G$89&gt;20,IF(((AG26-AG27)*'Input Data'!$G$38&gt;0),(AG26-AG27)*'Input Data'!$G$38,0),"")</f>
        <v>0</v>
      </c>
      <c r="AH28" s="87">
        <f>IF('Input Data'!$G$89&gt;25,IF(((AH26-AH27)*'Input Data'!$G$38&gt;0),(AH26-AH27)*'Input Data'!$G$38,0),"")</f>
        <v>0</v>
      </c>
      <c r="AI28" s="87">
        <f>IF('Input Data'!$G$89&gt;25,IF(((AI26-AI27)*'Input Data'!$G$38&gt;0),(AI26-AI27)*'Input Data'!$G$38,0),"")</f>
        <v>0</v>
      </c>
      <c r="AJ28" s="87">
        <f>IF('Input Data'!$G$89&gt;25,IF(((AJ26-AJ27)*'Input Data'!$G$38&gt;0),(AJ26-AJ27)*'Input Data'!$G$38,0),"")</f>
        <v>0</v>
      </c>
      <c r="AK28" s="87">
        <f>IF('Input Data'!$G$89&gt;25,IF(((AK26-AK27)*'Input Data'!$G$38&gt;0),(AK26-AK27)*'Input Data'!$G$38,0),"")</f>
        <v>0</v>
      </c>
      <c r="AL28" s="87">
        <f>IF('Input Data'!$G$89&gt;25,IF(((AL26-AL27)*'Input Data'!$G$38&gt;0),(AL26-AL27)*'Input Data'!$G$38,0),"")</f>
        <v>0</v>
      </c>
      <c r="AM28" s="87" t="str">
        <f>IF('Input Data'!$G$89&gt;30,IF(((AM26-AM27)*'Input Data'!$G$38&gt;0),(AM26-AM27)*'Input Data'!$G$38,0),"")</f>
        <v/>
      </c>
    </row>
    <row r="29" spans="2:39" x14ac:dyDescent="0.2">
      <c r="B29" s="1" t="s">
        <v>15</v>
      </c>
      <c r="F29" s="80">
        <f>'Input Data'!G96</f>
        <v>0.25</v>
      </c>
      <c r="G29" s="80">
        <f>'Input Data'!G97</f>
        <v>0.45</v>
      </c>
      <c r="H29" s="80">
        <f>'Input Data'!G98</f>
        <v>0.3</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2:39" x14ac:dyDescent="0.2">
      <c r="B30" s="1" t="s">
        <v>16</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2:39" x14ac:dyDescent="0.2">
      <c r="B31" s="2" t="s">
        <v>17</v>
      </c>
      <c r="F31" s="3"/>
      <c r="G31" s="3"/>
      <c r="H31" s="3"/>
      <c r="I31" s="87">
        <f>$E$6*I27*$R$5/1000</f>
        <v>303.79301222629465</v>
      </c>
      <c r="J31" s="87">
        <f t="shared" ref="J31:AA31" si="3">$E$6*J27*$R$5/1000</f>
        <v>350.5303987226477</v>
      </c>
      <c r="K31" s="87">
        <f>$E$6*K27*$R$5/1000</f>
        <v>397.26778521900076</v>
      </c>
      <c r="L31" s="87">
        <f t="shared" si="3"/>
        <v>397.26778521900076</v>
      </c>
      <c r="M31" s="87">
        <f t="shared" si="3"/>
        <v>397.26778521900076</v>
      </c>
      <c r="N31" s="87">
        <f t="shared" si="3"/>
        <v>397.26778521900076</v>
      </c>
      <c r="O31" s="87">
        <f t="shared" si="3"/>
        <v>397.26778521900076</v>
      </c>
      <c r="P31" s="87">
        <f t="shared" si="3"/>
        <v>397.26778521900076</v>
      </c>
      <c r="Q31" s="87">
        <f t="shared" si="3"/>
        <v>397.26778521900076</v>
      </c>
      <c r="R31" s="87">
        <f t="shared" si="3"/>
        <v>397.26778521900076</v>
      </c>
      <c r="S31" s="87">
        <f t="shared" si="3"/>
        <v>397.26778521900076</v>
      </c>
      <c r="T31" s="87">
        <f t="shared" si="3"/>
        <v>397.26778521900076</v>
      </c>
      <c r="U31" s="87">
        <f t="shared" si="3"/>
        <v>397.26778521900076</v>
      </c>
      <c r="V31" s="87">
        <f t="shared" si="3"/>
        <v>397.26778521900076</v>
      </c>
      <c r="W31" s="87">
        <f t="shared" si="3"/>
        <v>397.26778521900076</v>
      </c>
      <c r="X31" s="87">
        <f t="shared" si="3"/>
        <v>397.26778521900076</v>
      </c>
      <c r="Y31" s="87">
        <f t="shared" si="3"/>
        <v>397.26778521900076</v>
      </c>
      <c r="Z31" s="87">
        <f t="shared" si="3"/>
        <v>397.26778521900076</v>
      </c>
      <c r="AA31" s="87">
        <f t="shared" si="3"/>
        <v>397.26778521900076</v>
      </c>
      <c r="AB31" s="87">
        <f>IF(AB19="Year 20",$E$6*AB27*$R$5/1000,"")</f>
        <v>397.26778521900076</v>
      </c>
      <c r="AC31" s="87">
        <f>IF('Input Data'!G89&gt;20,$E$6*AC27*$R$5/1000,"")</f>
        <v>397.26778521900076</v>
      </c>
      <c r="AD31" s="87">
        <f>IF(AD19="Year 22",$E$6*AD27*$R$5/1000,"")</f>
        <v>397.26778521900076</v>
      </c>
      <c r="AE31" s="87">
        <f>IF(AE19="Year 23",$E$6*AE27*$R$5/1000,"")</f>
        <v>397.26778521900076</v>
      </c>
      <c r="AF31" s="87">
        <f>IF(AF19="Year 24",$E$6*AF27*$R$5/1000,"")</f>
        <v>397.26778521900076</v>
      </c>
      <c r="AG31" s="87">
        <f>IF(AG19="Year 25",$E$6*AG27*$R$5/1000,"")</f>
        <v>397.26778521900076</v>
      </c>
      <c r="AH31" s="87">
        <f>IF('Input Data'!G89&gt;25,$E$6*AH27*$R$5/1000,"")</f>
        <v>397.26778521900076</v>
      </c>
      <c r="AI31" s="87">
        <f>IF(AI19="Year 27",$E$6*AI27*$R$5/1000,"")</f>
        <v>397.26778521900076</v>
      </c>
      <c r="AJ31" s="87">
        <f>IF(AJ19="Year 28",$E$6*AJ27*$R$5/1000,"")</f>
        <v>397.26778521900076</v>
      </c>
      <c r="AK31" s="87">
        <f>IF(AK19="Year 29",$E$6*AK27*$R$5/1000,"")</f>
        <v>397.26778521900076</v>
      </c>
      <c r="AL31" s="87">
        <f>IF(AL19="Year 30",$E$6*AL27*$R$5/1000,"")</f>
        <v>397.26778521900076</v>
      </c>
      <c r="AM31" s="87" t="str">
        <f>IF('Input Data'!G89&gt;30,$E$6*AM27*$R$5/1000,"")</f>
        <v/>
      </c>
    </row>
    <row r="32" spans="2:39" x14ac:dyDescent="0.2">
      <c r="B32" s="2" t="s">
        <v>18</v>
      </c>
      <c r="F32" s="3"/>
      <c r="G32" s="3"/>
      <c r="H32" s="3"/>
      <c r="I32" s="87">
        <f>$E$7*I26*$R$6/1000000</f>
        <v>0.52384799999999998</v>
      </c>
      <c r="J32" s="87">
        <f t="shared" ref="J32:AA32" si="4">$E$7*J26*$R$6/1000000</f>
        <v>0.60443999999999987</v>
      </c>
      <c r="K32" s="87">
        <f t="shared" si="4"/>
        <v>0.68503199999999997</v>
      </c>
      <c r="L32" s="87">
        <f t="shared" si="4"/>
        <v>0.68503199999999997</v>
      </c>
      <c r="M32" s="87">
        <f t="shared" si="4"/>
        <v>0.68503199999999997</v>
      </c>
      <c r="N32" s="87">
        <f t="shared" si="4"/>
        <v>0.68503199999999997</v>
      </c>
      <c r="O32" s="87">
        <f t="shared" si="4"/>
        <v>0.68503199999999997</v>
      </c>
      <c r="P32" s="87">
        <f t="shared" si="4"/>
        <v>0.68503199999999997</v>
      </c>
      <c r="Q32" s="87">
        <f t="shared" si="4"/>
        <v>0.68503199999999997</v>
      </c>
      <c r="R32" s="87">
        <f t="shared" si="4"/>
        <v>0.68503199999999997</v>
      </c>
      <c r="S32" s="87">
        <f t="shared" si="4"/>
        <v>0.68503199999999997</v>
      </c>
      <c r="T32" s="87">
        <f t="shared" si="4"/>
        <v>0.68503199999999997</v>
      </c>
      <c r="U32" s="87">
        <f t="shared" si="4"/>
        <v>0.68503199999999997</v>
      </c>
      <c r="V32" s="87">
        <f t="shared" si="4"/>
        <v>0.68503199999999997</v>
      </c>
      <c r="W32" s="87">
        <f t="shared" si="4"/>
        <v>0.68503199999999997</v>
      </c>
      <c r="X32" s="87">
        <f t="shared" si="4"/>
        <v>0.68503199999999997</v>
      </c>
      <c r="Y32" s="87">
        <f t="shared" si="4"/>
        <v>0.68503199999999997</v>
      </c>
      <c r="Z32" s="87">
        <f t="shared" si="4"/>
        <v>0.68503199999999997</v>
      </c>
      <c r="AA32" s="87">
        <f t="shared" si="4"/>
        <v>0.68503199999999997</v>
      </c>
      <c r="AB32" s="87">
        <f>IF(AB19="Year 20",$E$7*AB26*$R$6/1000000,"")</f>
        <v>0.68503199999999997</v>
      </c>
      <c r="AC32" s="87">
        <f>IF('Input Data'!G89&gt;20,$E$7*AC26*$R$6/1000000,"")</f>
        <v>0.68503199999999997</v>
      </c>
      <c r="AD32" s="87">
        <f>IF(AD19="Year 22",$E$7*AD26*$R$6/1000000,"")</f>
        <v>0.68503199999999997</v>
      </c>
      <c r="AE32" s="87">
        <f>IF(AE19="Year 23",$E$7*AE26*$R$6/1000000,"")</f>
        <v>0.68503199999999997</v>
      </c>
      <c r="AF32" s="87">
        <f>IF(AF19="Year 24",$E$7*AF26*$R$6/1000000,"")</f>
        <v>0.68503199999999997</v>
      </c>
      <c r="AG32" s="87">
        <f>IF(AG19="Year 25",$E$7*AG26*$R$6/1000000,"")</f>
        <v>0.68503199999999997</v>
      </c>
      <c r="AH32" s="87">
        <f>IF('Input Data'!G89&gt;25,$E$7*AH26*$R$6/1000000,"")</f>
        <v>0.68503199999999997</v>
      </c>
      <c r="AI32" s="87">
        <f>IF(AI19="Year 27",$E$7*AI26*$R$6/1000000,"")</f>
        <v>0.68503199999999997</v>
      </c>
      <c r="AJ32" s="87">
        <f>IF(AJ19="Year 28",$E$7*AJ26*$R$6/1000000,"")</f>
        <v>0.68503199999999997</v>
      </c>
      <c r="AK32" s="87">
        <f>IF(AK19="Year 29",$E$7*AK26*$R$6/1000000,"")</f>
        <v>0.68503199999999997</v>
      </c>
      <c r="AL32" s="87">
        <f>IF(AL19="Year 30",$E$7*AL26*$R$6/1000000,"")</f>
        <v>0.68503199999999997</v>
      </c>
      <c r="AM32" s="87" t="str">
        <f>IF('Input Data'!G89&gt;30,$E$7*AM26*$R$6/1000000,"")</f>
        <v/>
      </c>
    </row>
    <row r="33" spans="2:39" x14ac:dyDescent="0.2">
      <c r="B33" s="2" t="s">
        <v>97</v>
      </c>
      <c r="F33" s="3"/>
      <c r="G33" s="3"/>
      <c r="H33" s="3"/>
      <c r="I33" s="87">
        <f>IF(((I26-I27)*R7*'Input Data'!G38/1000000&gt;0),(I26-I27)*R7*'Input Data'!G38/1000000,0)</f>
        <v>0</v>
      </c>
      <c r="J33" s="87">
        <f>IF(((J26-J27)*R7*'Input Data'!G38/1000000&gt;0),(J26-J27)*R7*'Input Data'!G38/1000000,0)</f>
        <v>0</v>
      </c>
      <c r="K33" s="87">
        <f>IF(((K26-K27)*R7*'Input Data'!G38/1000000&gt;0),(K26-K27)*R7*'Input Data'!G38/1000000,0)</f>
        <v>0</v>
      </c>
      <c r="L33" s="87">
        <f>IF(((L26-L27)*R7*'Input Data'!G38/1000000&gt;0),(L26-L27)*R7*'Input Data'!G38/1000000,0)</f>
        <v>0</v>
      </c>
      <c r="M33" s="87">
        <f>IF(((M26-M27)*R7*'Input Data'!G38/1000000&gt;0),(M26-M27)*R7*'Input Data'!G38/1000000,0)</f>
        <v>0</v>
      </c>
      <c r="N33" s="87">
        <f>IF(((N26-N27)*R7*'Input Data'!G38/1000000&gt;0),(N26-N27)*R7*'Input Data'!G38/1000000,0)</f>
        <v>0</v>
      </c>
      <c r="O33" s="87">
        <f>IF(((O26-O27)*R7*'Input Data'!G38/1000000&gt;0),(O26-O27)*R7*'Input Data'!G38/1000000,0)</f>
        <v>0</v>
      </c>
      <c r="P33" s="87">
        <f>IF(((P26-P27)*R7*'Input Data'!G38/1000000&gt;0),(P26-P27)*R7*'Input Data'!G38/1000000,0)</f>
        <v>0</v>
      </c>
      <c r="Q33" s="87">
        <f>IF(((Q26-Q27)*R7*'Input Data'!G38/1000000&gt;0),(Q26-Q27)*R7*'Input Data'!G38/1000000,0)</f>
        <v>0</v>
      </c>
      <c r="R33" s="87">
        <f>IF(((R26-R27)*R7*'Input Data'!G38/1000000&gt;0),(R26-R27)*R7*'Input Data'!G38/1000000,0)</f>
        <v>0</v>
      </c>
      <c r="S33" s="87">
        <f>IF(((S26-S27)*R7*'Input Data'!G38/1000000&gt;0),(S26-S27)*R7*'Input Data'!G38/1000000,0)</f>
        <v>0</v>
      </c>
      <c r="T33" s="87">
        <f>IF(((T26-T27)*R7*'Input Data'!G38/1000000&gt;0),(T26-T27)*R7*'Input Data'!G38/1000000,0)</f>
        <v>0</v>
      </c>
      <c r="U33" s="87">
        <f>IF(((U26-U27)*R7*'Input Data'!G38/1000000&gt;0),(U26-U27)*R7*'Input Data'!G38/1000000,0)</f>
        <v>0</v>
      </c>
      <c r="V33" s="87">
        <f>IF(((V26-V27)*R7*'Input Data'!G38/1000000&gt;0),(V26-V27)*R7*'Input Data'!G38/1000000,0)</f>
        <v>0</v>
      </c>
      <c r="W33" s="87">
        <f>IF(((W26-W27)*R7*'Input Data'!G38/1000000&gt;0),(W26-W27)*R7*'Input Data'!G38/1000000,0)</f>
        <v>0</v>
      </c>
      <c r="X33" s="87">
        <f>IF(((X26-X27)*R7*'Input Data'!G38/1000000&gt;0),(X26-X27)*R7*'Input Data'!G38/1000000,0)</f>
        <v>0</v>
      </c>
      <c r="Y33" s="87">
        <f>IF(((Y26-Y27)*R7*'Input Data'!G38/1000000&gt;0),(Y26-Y27)*R7*'Input Data'!G38/1000000,0)</f>
        <v>0</v>
      </c>
      <c r="Z33" s="87">
        <f>IF(((Z26-Z27)*R7*'Input Data'!G38/1000000&gt;0),(Z26-Z27)*R7*'Input Data'!G38/1000000,0)</f>
        <v>0</v>
      </c>
      <c r="AA33" s="87">
        <f>IF(((AA26-AA27)*R7*'Input Data'!G38/1000000&gt;0),(AA26-AA27)*R7*'Input Data'!G38/1000000,0)</f>
        <v>0</v>
      </c>
      <c r="AB33" s="87">
        <f>IF(AB19="Year 20",IF(((AB26-AB27)*R7*'Input Data'!G38/1000000&gt;0),(AB26-AB27)*R7*'Input Data'!G38/1000000,0),"")</f>
        <v>0</v>
      </c>
      <c r="AC33" s="87">
        <f>IF('Input Data'!G89&gt;20,IF(((AC26-AC27)*R7*'Input Data'!G38/1000000&gt;0),(AC26-AC27)*R7*'Input Data'!G38/1000000,0),"")</f>
        <v>0</v>
      </c>
      <c r="AD33" s="87">
        <f>IF(AD19="Year 22",IF(((AD26-AD27)*R7*'Input Data'!G38/1000000&gt;0),(AD26-AD27)*R7*'Input Data'!G38/1000000,0),"")</f>
        <v>0</v>
      </c>
      <c r="AE33" s="87">
        <f>IF(AE19="Year 23",IF(((AE26-AE27)*R7*'Input Data'!G38/1000000&gt;0),(AE26-AE27)*R7*'Input Data'!G38/1000000,0),"")</f>
        <v>0</v>
      </c>
      <c r="AF33" s="87">
        <f>IF(AF19="Year 24",IF(((AF26-AF27)*R7*'Input Data'!G38/1000000&gt;0),(AF26-AF27)*R7*'Input Data'!G38/1000000,0),"")</f>
        <v>0</v>
      </c>
      <c r="AG33" s="87">
        <f>IF(AG19="Year 25",IF(((AG26-AG27)*R7*'Input Data'!G38/1000000&gt;0),(AG26-AG27)*R7*'Input Data'!G38/1000000,0),"")</f>
        <v>0</v>
      </c>
      <c r="AH33" s="87">
        <f>IF('Input Data'!G89&gt;25,IF(((AH26-AH27)*R7*'Input Data'!G38/1000000&gt;0),(AH26-AH27)*R7*'Input Data'!G38/1000000,0),"")</f>
        <v>0</v>
      </c>
      <c r="AI33" s="87">
        <f>IF(AI19="Year 27",IF(((AI26-AI27)*R7*'Input Data'!G38/1000000&gt;0),(AI26-AI27)*R7*'Input Data'!G38/1000000,0),"")</f>
        <v>0</v>
      </c>
      <c r="AJ33" s="87">
        <f>IF(AJ19="Year 28",IF(((AJ26-AJ27)*R7*'Input Data'!G38/1000000&gt;0),(AJ26-AJ27)*R7*'Input Data'!G38/1000000,0),"")</f>
        <v>0</v>
      </c>
      <c r="AK33" s="87">
        <f>IF(AK19="Year 29",IF(((AK26-AK27)*R7*'Input Data'!G38/1000000&gt;0),(AK26-AK27)*R7*'Input Data'!G38/1000000,0),"")</f>
        <v>0</v>
      </c>
      <c r="AL33" s="87">
        <f>IF(AL19="Year 30",IF(((AL26-AL27)*R7*'Input Data'!G38/1000000&gt;0),(AL26-AL27)*R7*'Input Data'!G38/1000000,0),"")</f>
        <v>0</v>
      </c>
      <c r="AM33" s="101" t="str">
        <f>IF('Input Data'!G89&gt;30,IF(((AM26-AM27)*R7*'Input Data'!G38/1000000&gt;0),(AM26-AM27)*R7*'Input Data'!G38/1000000,0),"")</f>
        <v/>
      </c>
    </row>
    <row r="34" spans="2:39" x14ac:dyDescent="0.2">
      <c r="B34" s="1" t="s">
        <v>19</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2:39" x14ac:dyDescent="0.2">
      <c r="B35" s="2" t="s">
        <v>157</v>
      </c>
      <c r="F35" s="3"/>
      <c r="G35" s="3"/>
      <c r="H35" s="3"/>
      <c r="I35" s="88">
        <f>$M$5*$E$5*I26/1000000</f>
        <v>101.14797875000002</v>
      </c>
      <c r="J35" s="88">
        <f t="shared" ref="J35:AA35" si="5">$M$5*$E$5*J26/1000000</f>
        <v>116.70920625000001</v>
      </c>
      <c r="K35" s="88">
        <f t="shared" si="5"/>
        <v>132.27043375000002</v>
      </c>
      <c r="L35" s="88">
        <f t="shared" si="5"/>
        <v>132.27043375000002</v>
      </c>
      <c r="M35" s="88">
        <f t="shared" si="5"/>
        <v>132.27043375000002</v>
      </c>
      <c r="N35" s="88">
        <f t="shared" si="5"/>
        <v>132.27043375000002</v>
      </c>
      <c r="O35" s="88">
        <f t="shared" si="5"/>
        <v>132.27043375000002</v>
      </c>
      <c r="P35" s="88">
        <f t="shared" si="5"/>
        <v>132.27043375000002</v>
      </c>
      <c r="Q35" s="88">
        <f t="shared" si="5"/>
        <v>132.27043375000002</v>
      </c>
      <c r="R35" s="88">
        <f t="shared" si="5"/>
        <v>132.27043375000002</v>
      </c>
      <c r="S35" s="88">
        <f t="shared" si="5"/>
        <v>132.27043375000002</v>
      </c>
      <c r="T35" s="88">
        <f t="shared" si="5"/>
        <v>132.27043375000002</v>
      </c>
      <c r="U35" s="88">
        <f t="shared" si="5"/>
        <v>132.27043375000002</v>
      </c>
      <c r="V35" s="88">
        <f t="shared" si="5"/>
        <v>132.27043375000002</v>
      </c>
      <c r="W35" s="88">
        <f t="shared" si="5"/>
        <v>132.27043375000002</v>
      </c>
      <c r="X35" s="88">
        <f t="shared" si="5"/>
        <v>132.27043375000002</v>
      </c>
      <c r="Y35" s="88">
        <f t="shared" si="5"/>
        <v>132.27043375000002</v>
      </c>
      <c r="Z35" s="88">
        <f t="shared" si="5"/>
        <v>132.27043375000002</v>
      </c>
      <c r="AA35" s="88">
        <f t="shared" si="5"/>
        <v>132.27043375000002</v>
      </c>
      <c r="AB35" s="88">
        <f>IF(AB19="Year 20",$M$5*$E$5*AB26/1000000,"")</f>
        <v>132.27043375000002</v>
      </c>
      <c r="AC35" s="88">
        <f>IF('Input Data'!G89&gt;20,$M$5*$E$5*AC26/1000000,"")</f>
        <v>132.27043375000002</v>
      </c>
      <c r="AD35" s="88">
        <f>IF(AD19="Year 22",$M$5*$E$5*AD26/1000000,"")</f>
        <v>132.27043375000002</v>
      </c>
      <c r="AE35" s="88">
        <f>IF(AE19="Year 23",$M$5*$E$5*AE26/1000000,"")</f>
        <v>132.27043375000002</v>
      </c>
      <c r="AF35" s="88">
        <f>IF(AF19="Year 24",$M$5*$E$5*AF26/1000000,"")</f>
        <v>132.27043375000002</v>
      </c>
      <c r="AG35" s="88">
        <f>IF(AG19="Year 25",$M$5*$E$5*AG26/1000000,"")</f>
        <v>132.27043375000002</v>
      </c>
      <c r="AH35" s="88">
        <f>IF('Input Data'!G89&gt;25,$M$5*$E$5*AH26/1000000,"")</f>
        <v>132.27043375000002</v>
      </c>
      <c r="AI35" s="88">
        <f>IF(AI19="Year 27",$M$5*$E$5*AI26/1000000,"")</f>
        <v>132.27043375000002</v>
      </c>
      <c r="AJ35" s="88">
        <f>IF(AJ19="Year 28",$M$5*$E$5*AJ26/1000000,"")</f>
        <v>132.27043375000002</v>
      </c>
      <c r="AK35" s="88">
        <f>IF(AK19="Year 29",$M$5*$E$5*AK26/1000000,"")</f>
        <v>132.27043375000002</v>
      </c>
      <c r="AL35" s="88">
        <f>IF(AL19="Year 30",$M$5*$E$5*AL26/1000000,"")</f>
        <v>132.27043375000002</v>
      </c>
      <c r="AM35" s="88" t="str">
        <f>IF('Input Data'!G89&gt;30,$M$5*$E$5*AM26/1000000,"")</f>
        <v/>
      </c>
    </row>
    <row r="36" spans="2:39" x14ac:dyDescent="0.2">
      <c r="B36" s="2" t="s">
        <v>20</v>
      </c>
      <c r="F36" s="3"/>
      <c r="G36" s="3"/>
      <c r="H36" s="3"/>
      <c r="I36" s="88">
        <f>$M$6</f>
        <v>39.72</v>
      </c>
      <c r="J36" s="88">
        <f t="shared" ref="J36:AA36" si="6">$M$6</f>
        <v>39.72</v>
      </c>
      <c r="K36" s="88">
        <f t="shared" si="6"/>
        <v>39.72</v>
      </c>
      <c r="L36" s="88">
        <f t="shared" si="6"/>
        <v>39.72</v>
      </c>
      <c r="M36" s="88">
        <f t="shared" si="6"/>
        <v>39.72</v>
      </c>
      <c r="N36" s="88">
        <f t="shared" si="6"/>
        <v>39.72</v>
      </c>
      <c r="O36" s="88">
        <f t="shared" si="6"/>
        <v>39.72</v>
      </c>
      <c r="P36" s="88">
        <f t="shared" si="6"/>
        <v>39.72</v>
      </c>
      <c r="Q36" s="88">
        <f t="shared" si="6"/>
        <v>39.72</v>
      </c>
      <c r="R36" s="88">
        <f t="shared" si="6"/>
        <v>39.72</v>
      </c>
      <c r="S36" s="88">
        <f t="shared" si="6"/>
        <v>39.72</v>
      </c>
      <c r="T36" s="88">
        <f t="shared" si="6"/>
        <v>39.72</v>
      </c>
      <c r="U36" s="88">
        <f t="shared" si="6"/>
        <v>39.72</v>
      </c>
      <c r="V36" s="88">
        <f t="shared" si="6"/>
        <v>39.72</v>
      </c>
      <c r="W36" s="88">
        <f t="shared" si="6"/>
        <v>39.72</v>
      </c>
      <c r="X36" s="88">
        <f t="shared" si="6"/>
        <v>39.72</v>
      </c>
      <c r="Y36" s="88">
        <f t="shared" si="6"/>
        <v>39.72</v>
      </c>
      <c r="Z36" s="88">
        <f t="shared" si="6"/>
        <v>39.72</v>
      </c>
      <c r="AA36" s="88">
        <f t="shared" si="6"/>
        <v>39.72</v>
      </c>
      <c r="AB36" s="88">
        <f>IF(AB19="Year 20",$M$6,"")</f>
        <v>39.72</v>
      </c>
      <c r="AC36" s="88">
        <f>IF('Input Data'!G89&gt;20,$M$6,"")</f>
        <v>39.72</v>
      </c>
      <c r="AD36" s="88">
        <f>IF(AD19="Year 22",$M$6,"")</f>
        <v>39.72</v>
      </c>
      <c r="AE36" s="88">
        <f>IF(AE19="Year 23",$M$6,"")</f>
        <v>39.72</v>
      </c>
      <c r="AF36" s="88">
        <f>IF(AF19="Year 24",$M$6,"")</f>
        <v>39.72</v>
      </c>
      <c r="AG36" s="88">
        <f>IF(AG19="Year 25",$M$6,"")</f>
        <v>39.72</v>
      </c>
      <c r="AH36" s="88">
        <f>IF('Input Data'!G89&gt;25,$M$6,"")</f>
        <v>39.72</v>
      </c>
      <c r="AI36" s="88">
        <f>IF(AI19="Year 27",$M$6,"")</f>
        <v>39.72</v>
      </c>
      <c r="AJ36" s="88">
        <f>IF(AJ19="Year 28",$M$6,"")</f>
        <v>39.72</v>
      </c>
      <c r="AK36" s="88">
        <f>IF(AK19="Year 29",$M$6,"")</f>
        <v>39.72</v>
      </c>
      <c r="AL36" s="88">
        <f>IF(AL19="Year 30",$M$6,"")</f>
        <v>39.72</v>
      </c>
      <c r="AM36" s="88" t="str">
        <f>IF('Input Data'!G89&gt;30,$M$6,"")</f>
        <v/>
      </c>
    </row>
    <row r="37" spans="2:39" x14ac:dyDescent="0.2">
      <c r="B37" s="2" t="s">
        <v>21</v>
      </c>
      <c r="F37" s="3"/>
      <c r="G37" s="3"/>
      <c r="H37" s="3"/>
      <c r="I37" s="88">
        <f t="shared" ref="I37:AA37" si="7">$N$12</f>
        <v>8.32</v>
      </c>
      <c r="J37" s="88">
        <f t="shared" si="7"/>
        <v>8.32</v>
      </c>
      <c r="K37" s="88">
        <f t="shared" si="7"/>
        <v>8.32</v>
      </c>
      <c r="L37" s="88">
        <f t="shared" si="7"/>
        <v>8.32</v>
      </c>
      <c r="M37" s="88">
        <f t="shared" si="7"/>
        <v>8.32</v>
      </c>
      <c r="N37" s="88">
        <f t="shared" si="7"/>
        <v>8.32</v>
      </c>
      <c r="O37" s="88">
        <f t="shared" si="7"/>
        <v>8.32</v>
      </c>
      <c r="P37" s="88">
        <f t="shared" si="7"/>
        <v>8.32</v>
      </c>
      <c r="Q37" s="88">
        <f t="shared" si="7"/>
        <v>8.32</v>
      </c>
      <c r="R37" s="88">
        <f t="shared" si="7"/>
        <v>8.32</v>
      </c>
      <c r="S37" s="88">
        <f t="shared" si="7"/>
        <v>8.32</v>
      </c>
      <c r="T37" s="88">
        <f t="shared" si="7"/>
        <v>8.32</v>
      </c>
      <c r="U37" s="88">
        <f t="shared" si="7"/>
        <v>8.32</v>
      </c>
      <c r="V37" s="88">
        <f t="shared" si="7"/>
        <v>8.32</v>
      </c>
      <c r="W37" s="88">
        <f t="shared" si="7"/>
        <v>8.32</v>
      </c>
      <c r="X37" s="88">
        <f t="shared" si="7"/>
        <v>8.32</v>
      </c>
      <c r="Y37" s="88">
        <f t="shared" si="7"/>
        <v>8.32</v>
      </c>
      <c r="Z37" s="88">
        <f t="shared" si="7"/>
        <v>8.32</v>
      </c>
      <c r="AA37" s="88">
        <f t="shared" si="7"/>
        <v>8.32</v>
      </c>
      <c r="AB37" s="88">
        <f>IF(AB19="Year 20",$N$12,"")</f>
        <v>8.32</v>
      </c>
      <c r="AC37" s="88">
        <f>IF('Input Data'!G89&gt;20,$N$12,"")</f>
        <v>8.32</v>
      </c>
      <c r="AD37" s="88">
        <f>IF(AD19="Year 22",$N$12,"")</f>
        <v>8.32</v>
      </c>
      <c r="AE37" s="88">
        <f>IF(AE19="Year 23",$N$12,"")</f>
        <v>8.32</v>
      </c>
      <c r="AF37" s="88">
        <f>IF(AF19="Year 24",$N$12,"")</f>
        <v>8.32</v>
      </c>
      <c r="AG37" s="88">
        <f>IF(AG19="Year 25",$N$12,"")</f>
        <v>8.32</v>
      </c>
      <c r="AH37" s="88">
        <f>IF('Input Data'!G89&gt;25,$N$12,"")</f>
        <v>8.32</v>
      </c>
      <c r="AI37" s="88">
        <f>IF(AI19="Year 27",$N$12,"")</f>
        <v>8.32</v>
      </c>
      <c r="AJ37" s="88">
        <f>IF(AJ19="Year 28",$N$12,"")</f>
        <v>8.32</v>
      </c>
      <c r="AK37" s="88">
        <f>IF(AK19="Year 29",$N$12,"")</f>
        <v>8.32</v>
      </c>
      <c r="AL37" s="88">
        <f>IF(AL19="Year 30",$N$12,"")</f>
        <v>8.32</v>
      </c>
      <c r="AM37" s="88" t="str">
        <f>IF('Input Data'!G89&gt;30,$N$12,"")</f>
        <v/>
      </c>
    </row>
    <row r="38" spans="2:39" x14ac:dyDescent="0.2">
      <c r="B38" s="2" t="s">
        <v>22</v>
      </c>
      <c r="F38" s="3"/>
      <c r="G38" s="3"/>
      <c r="H38" s="3"/>
      <c r="I38" s="88">
        <f>I22*'Input Data'!$G$74*I24/0.85</f>
        <v>2.8982352941176472</v>
      </c>
      <c r="J38" s="88">
        <f>J22*'Input Data'!$G$74*J24/0.85</f>
        <v>3.3441176470588241</v>
      </c>
      <c r="K38" s="88">
        <f>K22*'Input Data'!$G$74*K24/0.85</f>
        <v>3.79</v>
      </c>
      <c r="L38" s="88">
        <f>L22*'Input Data'!$G$74*L24/0.85</f>
        <v>3.79</v>
      </c>
      <c r="M38" s="88">
        <f>M22*'Input Data'!$G$74*M24/0.85</f>
        <v>3.79</v>
      </c>
      <c r="N38" s="88">
        <f>N22*'Input Data'!$G$74*N24/0.85</f>
        <v>3.79</v>
      </c>
      <c r="O38" s="88">
        <f>O22*'Input Data'!$G$74*O24/0.85</f>
        <v>3.79</v>
      </c>
      <c r="P38" s="88">
        <f>P22*'Input Data'!$G$74*P24/0.85</f>
        <v>3.79</v>
      </c>
      <c r="Q38" s="88">
        <f>Q22*'Input Data'!$G$74*Q24/0.85</f>
        <v>3.79</v>
      </c>
      <c r="R38" s="88">
        <f>R22*'Input Data'!$G$74*R24/0.85</f>
        <v>3.79</v>
      </c>
      <c r="S38" s="88">
        <f>S22*'Input Data'!$G$74*S24/0.85</f>
        <v>3.79</v>
      </c>
      <c r="T38" s="88">
        <f>T22*'Input Data'!$G$74*T24/0.85</f>
        <v>3.79</v>
      </c>
      <c r="U38" s="88">
        <f>U22*'Input Data'!$G$74*U24/0.85</f>
        <v>3.79</v>
      </c>
      <c r="V38" s="88">
        <f>V22*'Input Data'!$G$74*V24/0.85</f>
        <v>3.79</v>
      </c>
      <c r="W38" s="88">
        <f>W22*'Input Data'!$G$74*W24/0.85</f>
        <v>3.79</v>
      </c>
      <c r="X38" s="88">
        <f>X22*'Input Data'!$G$74*X24/0.85</f>
        <v>3.79</v>
      </c>
      <c r="Y38" s="88">
        <f>Y22*'Input Data'!$G$74*Y24/0.85</f>
        <v>3.79</v>
      </c>
      <c r="Z38" s="88">
        <f>Z22*'Input Data'!$G$74*Z24/0.85</f>
        <v>3.79</v>
      </c>
      <c r="AA38" s="88">
        <f>AA22*'Input Data'!$G$74*AA24/0.85</f>
        <v>3.79</v>
      </c>
      <c r="AB38" s="88">
        <f>IF(AB19="Year 20",AB22*AB24*'Input Data'!$G$74/0.85,"")</f>
        <v>3.79</v>
      </c>
      <c r="AC38" s="88">
        <f>IF('Input Data'!G89&gt;20,AC22*AC24*'Input Data'!$G$74/0.85,"")</f>
        <v>3.79</v>
      </c>
      <c r="AD38" s="88">
        <f>IF(AD19="Year 22",AD22*AD24*'Input Data'!$G$74/0.85,"")</f>
        <v>3.79</v>
      </c>
      <c r="AE38" s="88">
        <f>IF(AE19="Year 23",AE24*AE22*'Input Data'!$G$74/0.85,"")</f>
        <v>3.79</v>
      </c>
      <c r="AF38" s="88">
        <f>IF(AF19="Year 24",AF22*AF24*'Input Data'!$G$74/0.85,"")</f>
        <v>3.79</v>
      </c>
      <c r="AG38" s="88">
        <f>IF(AG19="Year 25",AG22*AG24*'Input Data'!$G$74/0.85,"")</f>
        <v>3.79</v>
      </c>
      <c r="AH38" s="88">
        <f>IF('Input Data'!G89&gt;25,AH22*AH24*'Input Data'!$G$74/0.85,"")</f>
        <v>3.79</v>
      </c>
      <c r="AI38" s="88">
        <f>IF(AI19="Year 27",AI24*AI22*'Input Data'!$G$74/0.85,"")</f>
        <v>3.79</v>
      </c>
      <c r="AJ38" s="88">
        <f>IF(AJ19="Year 28",AJ24*AJ22*'Input Data'!$G$74/0.85,"")</f>
        <v>3.79</v>
      </c>
      <c r="AK38" s="88">
        <f>IF(AK19="Year 29",AK22*AK24*'Input Data'!$G$74/0.85,"")</f>
        <v>3.79</v>
      </c>
      <c r="AL38" s="88">
        <f>IF(AL19="Year 30",AL22*AL24*'Input Data'!$G$74/0.85,"")</f>
        <v>3.79</v>
      </c>
      <c r="AM38" s="88" t="str">
        <f>IF('Input Data'!G89&gt;30,AM22*AM24*'Input Data'!$G$74/0.85,"")</f>
        <v/>
      </c>
    </row>
    <row r="39" spans="2:39" x14ac:dyDescent="0.2">
      <c r="B39" s="2" t="s">
        <v>23</v>
      </c>
      <c r="F39" s="3"/>
      <c r="G39" s="3"/>
      <c r="H39" s="3"/>
      <c r="I39" s="88">
        <f>I26*'Input Data'!$G$40*'Input Data'!$G$73/1000000</f>
        <v>1.4348879999999999</v>
      </c>
      <c r="J39" s="88">
        <f>J26*'Input Data'!$G$40*'Input Data'!$G$73/1000000</f>
        <v>1.65564</v>
      </c>
      <c r="K39" s="88">
        <f>K26*'Input Data'!$G$40*'Input Data'!$G$73/1000000</f>
        <v>1.8763920000000001</v>
      </c>
      <c r="L39" s="88">
        <f>L26*'Input Data'!$G$40*'Input Data'!$G$73/1000000</f>
        <v>1.8763920000000001</v>
      </c>
      <c r="M39" s="88">
        <f>M26*'Input Data'!$G$40*'Input Data'!$G$73/1000000</f>
        <v>1.8763920000000001</v>
      </c>
      <c r="N39" s="88">
        <f>N26*'Input Data'!$G$40*'Input Data'!$G$73/1000000</f>
        <v>1.8763920000000001</v>
      </c>
      <c r="O39" s="88">
        <f>O26*'Input Data'!$G$40*'Input Data'!$G$73/1000000</f>
        <v>1.8763920000000001</v>
      </c>
      <c r="P39" s="88">
        <f>P26*'Input Data'!$G$40*'Input Data'!$G$73/1000000</f>
        <v>1.8763920000000001</v>
      </c>
      <c r="Q39" s="88">
        <f>Q26*'Input Data'!$G$40*'Input Data'!$G$73/1000000</f>
        <v>1.8763920000000001</v>
      </c>
      <c r="R39" s="88">
        <f>R26*'Input Data'!$G$40*'Input Data'!$G$73/1000000</f>
        <v>1.8763920000000001</v>
      </c>
      <c r="S39" s="88">
        <f>S26*'Input Data'!$G$40*'Input Data'!$G$73/1000000</f>
        <v>1.8763920000000001</v>
      </c>
      <c r="T39" s="88">
        <f>T26*'Input Data'!$G$40*'Input Data'!$G$73/1000000</f>
        <v>1.8763920000000001</v>
      </c>
      <c r="U39" s="88">
        <f>U26*'Input Data'!$G$40*'Input Data'!$G$73/1000000</f>
        <v>1.8763920000000001</v>
      </c>
      <c r="V39" s="88">
        <f>V26*'Input Data'!$G$40*'Input Data'!$G$73/1000000</f>
        <v>1.8763920000000001</v>
      </c>
      <c r="W39" s="88">
        <f>W26*'Input Data'!$G$40*'Input Data'!$G$73/1000000</f>
        <v>1.8763920000000001</v>
      </c>
      <c r="X39" s="88">
        <f>X26*'Input Data'!$G$40*'Input Data'!$G$73/1000000</f>
        <v>1.8763920000000001</v>
      </c>
      <c r="Y39" s="88">
        <f>Y26*'Input Data'!$G$40*'Input Data'!$G$73/1000000</f>
        <v>1.8763920000000001</v>
      </c>
      <c r="Z39" s="88">
        <f>Z26*'Input Data'!$G$40*'Input Data'!$G$73/1000000</f>
        <v>1.8763920000000001</v>
      </c>
      <c r="AA39" s="88">
        <f>AA26*'Input Data'!$G$40*'Input Data'!$G$73/1000000</f>
        <v>1.8763920000000001</v>
      </c>
      <c r="AB39" s="88">
        <f>IF(AB19="Year 20",AB26*'Input Data'!$G$40*'Input Data'!$G$73/1000000,"")</f>
        <v>1.8763920000000001</v>
      </c>
      <c r="AC39" s="88">
        <f>IF('Input Data'!G89&gt;20,AC26*'Input Data'!$G$40*'Input Data'!$G$73/1000000,"")</f>
        <v>1.8763920000000001</v>
      </c>
      <c r="AD39" s="88">
        <f>IF(AD19="Year 22",AD26*'Input Data'!$G$40*'Input Data'!$G$73/1000000,"")</f>
        <v>1.8763920000000001</v>
      </c>
      <c r="AE39" s="88">
        <f>IF(AE19="Year 23",AE26*'Input Data'!$G$40*'Input Data'!$G$73/1000000,"")</f>
        <v>1.8763920000000001</v>
      </c>
      <c r="AF39" s="88">
        <f>IF(AF19="Year 24",AF26*'Input Data'!$G$40*'Input Data'!$G$73/1000000,"")</f>
        <v>1.8763920000000001</v>
      </c>
      <c r="AG39" s="88">
        <f>IF(AG19="Year 25",AG26*'Input Data'!$G$40*'Input Data'!$G$73/1000000,"")</f>
        <v>1.8763920000000001</v>
      </c>
      <c r="AH39" s="88">
        <f>IF('Input Data'!G89&gt;25,AH26*'Input Data'!$G$40*'Input Data'!$G$73/1000000,"")</f>
        <v>1.8763920000000001</v>
      </c>
      <c r="AI39" s="88">
        <f>IF(AI19="Year 27",AI26*'Input Data'!$G$40*'Input Data'!$G$73/1000000,"")</f>
        <v>1.8763920000000001</v>
      </c>
      <c r="AJ39" s="88">
        <f>IF(AJ19="Year 28",AJ26*'Input Data'!$G$40*'Input Data'!$G$73/1000000,"")</f>
        <v>1.8763920000000001</v>
      </c>
      <c r="AK39" s="88">
        <f>IF(AK19="Year 29",AK26*'Input Data'!$G$40*'Input Data'!$G$73/1000000,"")</f>
        <v>1.8763920000000001</v>
      </c>
      <c r="AL39" s="88">
        <f>IF(AL19="Year 30",AL26*'Input Data'!$G$40*'Input Data'!$G$73/1000000,"")</f>
        <v>1.8763920000000001</v>
      </c>
      <c r="AM39" s="88" t="str">
        <f>IF('Input Data'!G89&gt;30,AM26*'Input Data'!$G$40*'Input Data'!$G$73/1000000,"")</f>
        <v/>
      </c>
    </row>
    <row r="40" spans="2:39" x14ac:dyDescent="0.2">
      <c r="B40" s="2" t="s">
        <v>124</v>
      </c>
      <c r="F40" s="3"/>
      <c r="G40" s="3"/>
      <c r="H40" s="3"/>
      <c r="I40" s="88">
        <f>I5*R10</f>
        <v>22.23</v>
      </c>
      <c r="J40" s="88">
        <f>I5*R10</f>
        <v>22.23</v>
      </c>
      <c r="K40" s="88">
        <f>I5*R10</f>
        <v>22.23</v>
      </c>
      <c r="L40" s="88">
        <f>I5*R10</f>
        <v>22.23</v>
      </c>
      <c r="M40" s="88">
        <f>I5*R10</f>
        <v>22.23</v>
      </c>
      <c r="N40" s="88">
        <f>I5*R10</f>
        <v>22.23</v>
      </c>
      <c r="O40" s="88">
        <f>I5*R10</f>
        <v>22.23</v>
      </c>
      <c r="P40" s="88">
        <f>I5*R10</f>
        <v>22.23</v>
      </c>
      <c r="Q40" s="88">
        <f>I5*R10</f>
        <v>22.23</v>
      </c>
      <c r="R40" s="88">
        <f>I5*R10</f>
        <v>22.23</v>
      </c>
      <c r="S40" s="88">
        <f>I5*R10</f>
        <v>22.23</v>
      </c>
      <c r="T40" s="88">
        <f>I5*R10</f>
        <v>22.23</v>
      </c>
      <c r="U40" s="88">
        <f>I5*R10</f>
        <v>22.23</v>
      </c>
      <c r="V40" s="88">
        <f>I5*R10</f>
        <v>22.23</v>
      </c>
      <c r="W40" s="88">
        <f>I5*R10</f>
        <v>22.23</v>
      </c>
      <c r="X40" s="88">
        <f>I5*R10</f>
        <v>22.23</v>
      </c>
      <c r="Y40" s="88">
        <f>I5*R10</f>
        <v>22.23</v>
      </c>
      <c r="Z40" s="88">
        <f>I5*R10</f>
        <v>22.23</v>
      </c>
      <c r="AA40" s="88">
        <f>I5*R10</f>
        <v>22.23</v>
      </c>
      <c r="AB40" s="88">
        <f>IF(AB19="Year 20",I5*R10,"")</f>
        <v>22.23</v>
      </c>
      <c r="AC40" s="88">
        <f>IF('Input Data'!G89&gt;20,I5*R10,"")</f>
        <v>22.23</v>
      </c>
      <c r="AD40" s="88">
        <f>IF(AD19="Year 22",I5*R10,"")</f>
        <v>22.23</v>
      </c>
      <c r="AE40" s="88">
        <f>IF(AE19="Year 23",I5*R10,"")</f>
        <v>22.23</v>
      </c>
      <c r="AF40" s="88">
        <f>IF(AF19="Year 24",I5*R10,"")</f>
        <v>22.23</v>
      </c>
      <c r="AG40" s="88">
        <f>IF(AG19="Year 25",I5*R10,"")</f>
        <v>22.23</v>
      </c>
      <c r="AH40" s="88">
        <f>IF('Input Data'!G89&gt;25,I5*R10,"")</f>
        <v>22.23</v>
      </c>
      <c r="AI40" s="88">
        <f>IF(AI19="Year 27",I5*R10,"")</f>
        <v>22.23</v>
      </c>
      <c r="AJ40" s="88">
        <f>IF(AJ19="Year 28",I5*R10,"")</f>
        <v>22.23</v>
      </c>
      <c r="AK40" s="88">
        <f>IF(AK19="Year 29",I5*R10,"")</f>
        <v>22.23</v>
      </c>
      <c r="AL40" s="88">
        <f>IF(AL19="Year 30",I5*R10,"")</f>
        <v>22.23</v>
      </c>
      <c r="AM40" s="88" t="str">
        <f>IF('Input Data'!G89&gt;30,I5*R10,"")</f>
        <v/>
      </c>
    </row>
    <row r="41" spans="2:39" ht="15.75" x14ac:dyDescent="0.3">
      <c r="B41" s="2" t="s">
        <v>197</v>
      </c>
      <c r="F41" s="3"/>
      <c r="G41" s="3"/>
      <c r="H41" s="3"/>
      <c r="I41" s="88">
        <f>'Input Data'!$G$33*'Input Data'!$G$77*I26/1000000</f>
        <v>0</v>
      </c>
      <c r="J41" s="88">
        <f>'Input Data'!$G$33*'Input Data'!$G$77*J26/1000000</f>
        <v>0</v>
      </c>
      <c r="K41" s="88">
        <f>'Input Data'!$G$33*'Input Data'!$G$77*K26/1000000</f>
        <v>0</v>
      </c>
      <c r="L41" s="88">
        <f>'Input Data'!$G$33*'Input Data'!$G$77*L26/1000000</f>
        <v>0</v>
      </c>
      <c r="M41" s="88">
        <f>'Input Data'!$G$33*'Input Data'!$G$77*M26/1000000</f>
        <v>0</v>
      </c>
      <c r="N41" s="88">
        <f>'Input Data'!$G$33*'Input Data'!$G$77*N26/1000000</f>
        <v>0</v>
      </c>
      <c r="O41" s="88">
        <f>'Input Data'!$G$33*'Input Data'!$G$77*O26/1000000</f>
        <v>0</v>
      </c>
      <c r="P41" s="88">
        <f>'Input Data'!$G$33*'Input Data'!$G$77*P26/1000000</f>
        <v>0</v>
      </c>
      <c r="Q41" s="88">
        <f>'Input Data'!$G$33*'Input Data'!$G$77*Q26/1000000</f>
        <v>0</v>
      </c>
      <c r="R41" s="88">
        <f>'Input Data'!$G$33*'Input Data'!$G$77*R26/1000000</f>
        <v>0</v>
      </c>
      <c r="S41" s="88">
        <f>'Input Data'!$G$33*'Input Data'!$G$77*S26/1000000</f>
        <v>0</v>
      </c>
      <c r="T41" s="88">
        <f>'Input Data'!$G$33*'Input Data'!$G$77*T26/1000000</f>
        <v>0</v>
      </c>
      <c r="U41" s="88">
        <f>'Input Data'!$G$33*'Input Data'!$G$77*U26/1000000</f>
        <v>0</v>
      </c>
      <c r="V41" s="88">
        <f>'Input Data'!$G$33*'Input Data'!$G$77*V26/1000000</f>
        <v>0</v>
      </c>
      <c r="W41" s="88">
        <f>'Input Data'!$G$33*'Input Data'!$G$77*W26/1000000</f>
        <v>0</v>
      </c>
      <c r="X41" s="88">
        <f>'Input Data'!$G$33*'Input Data'!$G$77*X26/1000000</f>
        <v>0</v>
      </c>
      <c r="Y41" s="88">
        <f>'Input Data'!$G$33*'Input Data'!$G$77*Y26/1000000</f>
        <v>0</v>
      </c>
      <c r="Z41" s="88">
        <f>'Input Data'!$G$33*'Input Data'!$G$77*Z26/1000000</f>
        <v>0</v>
      </c>
      <c r="AA41" s="88">
        <f>'Input Data'!$G$33*'Input Data'!$G$77*AA26/1000000</f>
        <v>0</v>
      </c>
      <c r="AB41" s="88">
        <f>'Input Data'!$G$33*'Input Data'!$G$77*AB26/1000000</f>
        <v>0</v>
      </c>
      <c r="AC41" s="88">
        <f>IF('Input Data'!G89&gt;20,'Input Data'!$G$33*'Input Data'!$G$77*AC26/1000000,"")</f>
        <v>0</v>
      </c>
      <c r="AD41" s="88">
        <f>IF(AD19="Year 22",'Input Data'!$G$33*'Input Data'!$G$77*AD26/1000000,"")</f>
        <v>0</v>
      </c>
      <c r="AE41" s="88">
        <f>IF(AE19="Year 23",'Input Data'!$G$33*'Input Data'!$G$77*AE26/1000000,"")</f>
        <v>0</v>
      </c>
      <c r="AF41" s="88">
        <f>IF(AF19="Year 24",'Input Data'!$G$33*'Input Data'!$G$77*AF26/1000000,"")</f>
        <v>0</v>
      </c>
      <c r="AG41" s="88">
        <f>IF(AG19="Year 25",'Input Data'!$G$33*'Input Data'!$G$77*AG26/1000000,"")</f>
        <v>0</v>
      </c>
      <c r="AH41" s="88">
        <f>IF('Input Data'!G89&gt;25,'Input Data'!$G$33*'Input Data'!$G$77*AH26/1000000,"")</f>
        <v>0</v>
      </c>
      <c r="AI41" s="88">
        <f>IF(AI19="Year 27",'Input Data'!$G$33*'Input Data'!$G$77*AI26/1000000,"")</f>
        <v>0</v>
      </c>
      <c r="AJ41" s="88">
        <f>IF(AJ19="Year 28",'Input Data'!$G$33*'Input Data'!$G$77*AJ26/1000000,"")</f>
        <v>0</v>
      </c>
      <c r="AK41" s="88">
        <f>IF(AK19="Year 29",'Input Data'!$G$33*'Input Data'!$G$77*AK26/1000000,"")</f>
        <v>0</v>
      </c>
      <c r="AL41" s="88">
        <f>IF(AL19="Year 30",'Input Data'!$G$33*'Input Data'!$G$77*AL26/1000000,"")</f>
        <v>0</v>
      </c>
      <c r="AM41" s="88" t="str">
        <f>IF('Input Data'!G89&gt;30,'Input Data'!$G$33*'Input Data'!$G$77*AM26/1000000,"")</f>
        <v/>
      </c>
    </row>
    <row r="42" spans="2:39" x14ac:dyDescent="0.2">
      <c r="B42" s="1" t="s">
        <v>132</v>
      </c>
      <c r="F42" s="88">
        <f>I10*F29</f>
        <v>389.02500000000003</v>
      </c>
      <c r="G42" s="88">
        <f>I10*G29</f>
        <v>700.24500000000012</v>
      </c>
      <c r="H42" s="88">
        <f>H29*I10</f>
        <v>466.83000000000004</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2:39" ht="13.5" thickBot="1" x14ac:dyDescent="0.25">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2:39" ht="13.5" thickBot="1" x14ac:dyDescent="0.25">
      <c r="B44" s="90" t="s">
        <v>129</v>
      </c>
      <c r="C44" s="91"/>
      <c r="D44" s="91"/>
      <c r="E44" s="91"/>
      <c r="F44" s="92">
        <f t="shared" ref="F44:AB44" si="8">SUM(F31:F33)-SUM(F35:F41)-F42</f>
        <v>-389.02500000000003</v>
      </c>
      <c r="G44" s="92">
        <f t="shared" si="8"/>
        <v>-700.24500000000012</v>
      </c>
      <c r="H44" s="92">
        <f t="shared" si="8"/>
        <v>-466.83000000000004</v>
      </c>
      <c r="I44" s="92">
        <f t="shared" si="8"/>
        <v>128.56575818217698</v>
      </c>
      <c r="J44" s="92">
        <f t="shared" si="8"/>
        <v>159.15587482558891</v>
      </c>
      <c r="K44" s="92">
        <f t="shared" si="8"/>
        <v>189.74599146900073</v>
      </c>
      <c r="L44" s="92">
        <f t="shared" si="8"/>
        <v>189.74599146900073</v>
      </c>
      <c r="M44" s="92">
        <f t="shared" si="8"/>
        <v>189.74599146900073</v>
      </c>
      <c r="N44" s="92">
        <f t="shared" si="8"/>
        <v>189.74599146900073</v>
      </c>
      <c r="O44" s="92">
        <f t="shared" si="8"/>
        <v>189.74599146900073</v>
      </c>
      <c r="P44" s="92">
        <f t="shared" si="8"/>
        <v>189.74599146900073</v>
      </c>
      <c r="Q44" s="92">
        <f t="shared" si="8"/>
        <v>189.74599146900073</v>
      </c>
      <c r="R44" s="92">
        <f t="shared" si="8"/>
        <v>189.74599146900073</v>
      </c>
      <c r="S44" s="92">
        <f t="shared" si="8"/>
        <v>189.74599146900073</v>
      </c>
      <c r="T44" s="92">
        <f t="shared" si="8"/>
        <v>189.74599146900073</v>
      </c>
      <c r="U44" s="92">
        <f t="shared" si="8"/>
        <v>189.74599146900073</v>
      </c>
      <c r="V44" s="92">
        <f t="shared" si="8"/>
        <v>189.74599146900073</v>
      </c>
      <c r="W44" s="92">
        <f t="shared" si="8"/>
        <v>189.74599146900073</v>
      </c>
      <c r="X44" s="92">
        <f t="shared" si="8"/>
        <v>189.74599146900073</v>
      </c>
      <c r="Y44" s="92">
        <f t="shared" si="8"/>
        <v>189.74599146900073</v>
      </c>
      <c r="Z44" s="92">
        <f t="shared" si="8"/>
        <v>189.74599146900073</v>
      </c>
      <c r="AA44" s="92">
        <f t="shared" si="8"/>
        <v>189.74599146900073</v>
      </c>
      <c r="AB44" s="92">
        <f t="shared" si="8"/>
        <v>189.74599146900073</v>
      </c>
      <c r="AC44" s="92">
        <f>IF(AC19="Year 21",SUM(AC31:AC33)-SUM(AC35:AC41)-AC42,"")</f>
        <v>189.74599146900073</v>
      </c>
      <c r="AD44" s="92">
        <f>IF(AD19="Year 22",SUM(AD31:AD33)-SUM(AD35:AD41)-AD42,"")</f>
        <v>189.74599146900073</v>
      </c>
      <c r="AE44" s="92">
        <f>IF(AE19="Year 23",SUM(AE31:AE33)-SUM(AE35:AE41)-AE42,"")</f>
        <v>189.74599146900073</v>
      </c>
      <c r="AF44" s="92">
        <f>IF(AF19="Year 24",SUM(AF31:AF33)-SUM(AF35:AF41)-AF42,"")</f>
        <v>189.74599146900073</v>
      </c>
      <c r="AG44" s="92">
        <f>IF(AG19="Year 25",SUM(AG31:AG33)-SUM(AG35:AG41)-AG42,"")</f>
        <v>189.74599146900073</v>
      </c>
      <c r="AH44" s="92">
        <f>IF(AH19="Year 26",SUM(AH31:AH33)-SUM(AH35:AH41)-AH42,"")</f>
        <v>189.74599146900073</v>
      </c>
      <c r="AI44" s="92">
        <f>IF(AI19="Year 27",SUM(AI31:AI33)-SUM(AI35:AI41)-AI42,"")</f>
        <v>189.74599146900073</v>
      </c>
      <c r="AJ44" s="92">
        <f>IF(AJ19="Year 28",SUM(AJ31:AJ33)-SUM(AJ35:AJ41)-AJ42,"")</f>
        <v>189.74599146900073</v>
      </c>
      <c r="AK44" s="92">
        <f>IF(AK19="Year 29",SUM(AK31:AK33)-SUM(AK35:AK41)-AK42,"")</f>
        <v>189.74599146900073</v>
      </c>
      <c r="AL44" s="92">
        <f>IF(AL19="Year 30",SUM(AL31:AL33)-SUM(AL35:AL41)-AL42,"")</f>
        <v>189.74599146900073</v>
      </c>
      <c r="AM44" s="92">
        <f>IF(AM19="Year 31",SUM(AM31:AM33)-SUM(AM35:AM41)-AM42,"")</f>
        <v>0</v>
      </c>
    </row>
    <row r="45" spans="2:39" ht="13.5" thickBot="1" x14ac:dyDescent="0.25">
      <c r="B45" s="90" t="s">
        <v>130</v>
      </c>
      <c r="C45" s="91"/>
      <c r="D45" s="91"/>
      <c r="E45" s="91"/>
      <c r="F45" s="93">
        <f>F44</f>
        <v>-389.02500000000003</v>
      </c>
      <c r="G45" s="93">
        <f>-1*(ABS(G44)+ABS(F45))</f>
        <v>-1089.2700000000002</v>
      </c>
      <c r="H45" s="93">
        <f>-1*(ABS(H44)+ABS(G45))</f>
        <v>-1556.1000000000004</v>
      </c>
      <c r="I45" s="93">
        <f>H45+I44</f>
        <v>-1427.5342418178234</v>
      </c>
      <c r="J45" s="93">
        <f t="shared" ref="J45:P45" si="9">I45+J44</f>
        <v>-1268.3783669922345</v>
      </c>
      <c r="K45" s="93">
        <f t="shared" si="9"/>
        <v>-1078.6323755232338</v>
      </c>
      <c r="L45" s="93">
        <f t="shared" si="9"/>
        <v>-888.88638405423308</v>
      </c>
      <c r="M45" s="93">
        <f t="shared" si="9"/>
        <v>-699.14039258523235</v>
      </c>
      <c r="N45" s="93">
        <f t="shared" si="9"/>
        <v>-509.39440111623162</v>
      </c>
      <c r="O45" s="93">
        <f t="shared" si="9"/>
        <v>-319.64840964723089</v>
      </c>
      <c r="P45" s="93">
        <f t="shared" si="9"/>
        <v>-129.90241817823016</v>
      </c>
      <c r="Q45" s="93">
        <f t="shared" ref="Q45:AA45" si="10">P45+Q44</f>
        <v>59.843573290770564</v>
      </c>
      <c r="R45" s="93">
        <f t="shared" si="10"/>
        <v>249.58956475977129</v>
      </c>
      <c r="S45" s="93">
        <f t="shared" si="10"/>
        <v>439.33555622877202</v>
      </c>
      <c r="T45" s="93">
        <f t="shared" si="10"/>
        <v>629.08154769777275</v>
      </c>
      <c r="U45" s="93">
        <f t="shared" si="10"/>
        <v>818.82753916677348</v>
      </c>
      <c r="V45" s="93">
        <f t="shared" si="10"/>
        <v>1008.5735306357742</v>
      </c>
      <c r="W45" s="93">
        <f t="shared" si="10"/>
        <v>1198.3195221047749</v>
      </c>
      <c r="X45" s="93">
        <f t="shared" si="10"/>
        <v>1388.0655135737757</v>
      </c>
      <c r="Y45" s="93">
        <f t="shared" si="10"/>
        <v>1577.8115050427764</v>
      </c>
      <c r="Z45" s="93">
        <f t="shared" si="10"/>
        <v>1767.5574965117771</v>
      </c>
      <c r="AA45" s="93">
        <f t="shared" si="10"/>
        <v>1957.3034879807778</v>
      </c>
      <c r="AB45" s="93">
        <f>IF(AB19="Year 20",AA45+AB44,"")</f>
        <v>2147.0494794497786</v>
      </c>
      <c r="AC45" s="93">
        <f>IF(AC19="Year 21",AB45+AC44,"")</f>
        <v>2336.7954709187793</v>
      </c>
      <c r="AD45" s="93">
        <f>IF(AD19="Year 22",AC45+AD44,"")</f>
        <v>2526.54146238778</v>
      </c>
      <c r="AE45" s="93">
        <f>IF(AE19="Year 23",AD45+AE44,"")</f>
        <v>2716.2874538567808</v>
      </c>
      <c r="AF45" s="93">
        <f>IF(AF19="Year 24",AE45+AF44,"")</f>
        <v>2906.0334453257815</v>
      </c>
      <c r="AG45" s="93">
        <f>IF(AG19="Year 25",AF45+AG44,"")</f>
        <v>3095.7794367947822</v>
      </c>
      <c r="AH45" s="93">
        <f>IF(AH19="Year 26",AG45+AH44,"")</f>
        <v>3285.5254282637829</v>
      </c>
      <c r="AI45" s="93">
        <f>IF(AI19="Year 27",AH45+AI44,"")</f>
        <v>3475.2714197327837</v>
      </c>
      <c r="AJ45" s="93">
        <f>IF(AJ19="Year 28",AI45+AJ44,"")</f>
        <v>3665.0174112017844</v>
      </c>
      <c r="AK45" s="93">
        <f>IF(AK19="Year 29",AJ45+AK44,"")</f>
        <v>3854.7634026707851</v>
      </c>
      <c r="AL45" s="93">
        <f>IF(AL19="Year 30",AK45+AL44,"")</f>
        <v>4044.5093941397859</v>
      </c>
      <c r="AM45" s="93">
        <f>IF(AM19="Year 31",AL45+AM44,"")</f>
        <v>4044.5093941397859</v>
      </c>
    </row>
    <row r="46" spans="2:39" ht="13.5" thickBot="1" x14ac:dyDescent="0.25">
      <c r="B46" s="90"/>
      <c r="C46" s="91"/>
      <c r="D46" s="91"/>
      <c r="E46" s="91"/>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row>
    <row r="47" spans="2:39" ht="13.5" thickBot="1" x14ac:dyDescent="0.25">
      <c r="B47" s="90" t="s">
        <v>128</v>
      </c>
      <c r="C47" s="91"/>
      <c r="D47" s="91"/>
      <c r="E47" s="91"/>
      <c r="F47" s="93">
        <f>F45/(1+R9)</f>
        <v>-353.65909090909093</v>
      </c>
      <c r="G47" s="93">
        <f>G44/(1+R9)^2</f>
        <v>-578.71487603305786</v>
      </c>
      <c r="H47" s="93">
        <f>H44/(1+R9)^3</f>
        <v>-350.73628850488348</v>
      </c>
      <c r="I47" s="93">
        <f>I44/(1+R9)^4</f>
        <v>87.81214273763878</v>
      </c>
      <c r="J47" s="93">
        <f>J44/(1+R9)^5</f>
        <v>98.823276369341926</v>
      </c>
      <c r="K47" s="93">
        <f>K44/(1+R9)^6</f>
        <v>107.10666551645731</v>
      </c>
      <c r="L47" s="93">
        <f>L44/(1+R9)^7</f>
        <v>97.369695924052095</v>
      </c>
      <c r="M47" s="93">
        <f>M44/(1+R9)^8</f>
        <v>88.517905385501905</v>
      </c>
      <c r="N47" s="93">
        <f>N44/(1+R9)^9</f>
        <v>80.470823077728994</v>
      </c>
      <c r="O47" s="93">
        <f>O44/(1+R9)^10</f>
        <v>73.15529370702636</v>
      </c>
      <c r="P47" s="93">
        <f>P44/(1+R9)^11</f>
        <v>66.504812460933039</v>
      </c>
      <c r="Q47" s="93">
        <f>Q44/(1+R9)^12</f>
        <v>60.458920419030044</v>
      </c>
      <c r="R47" s="93">
        <f>R44/(1+R9)^13</f>
        <v>54.962654926390947</v>
      </c>
      <c r="S47" s="93">
        <f>S44/(1+R9)^14</f>
        <v>49.966049933082665</v>
      </c>
      <c r="T47" s="93">
        <f>T44/(1+R9)^15</f>
        <v>45.423681757347879</v>
      </c>
      <c r="U47" s="93">
        <f>U44/(1+R9)^16</f>
        <v>41.294256143043526</v>
      </c>
      <c r="V47" s="93">
        <f>V44/(1+R9)^17</f>
        <v>37.540232857312297</v>
      </c>
      <c r="W47" s="93">
        <f>W44/(1+R9)^18</f>
        <v>34.127484415738451</v>
      </c>
      <c r="X47" s="93">
        <f>X44/(1+R9)^19</f>
        <v>31.024985832489492</v>
      </c>
      <c r="Y47" s="93">
        <f>Y44/(1+R9)^20</f>
        <v>28.204532574990449</v>
      </c>
      <c r="Z47" s="93">
        <f>Z44/(1+R9)^21</f>
        <v>25.640484159082224</v>
      </c>
      <c r="AA47" s="93">
        <f>AA44/(1+R9)^22</f>
        <v>23.309531053711108</v>
      </c>
      <c r="AB47" s="93">
        <f>IF(AB19="Year 20",AB44/(1+R9)^23,"")</f>
        <v>21.190482776101007</v>
      </c>
      <c r="AC47" s="93">
        <f>IF(AC19="Year 21",AC44/(1+R9)^24,"")</f>
        <v>19.264075251000918</v>
      </c>
      <c r="AD47" s="93">
        <f>IF(AD19="Year 22",AD44/(1+R9)^25,"")</f>
        <v>17.512795682728104</v>
      </c>
      <c r="AE47" s="93">
        <f>IF(AE19="Year 23",AE44/(1+R9)^26,"")</f>
        <v>15.920723347934638</v>
      </c>
      <c r="AF47" s="93">
        <f>IF(AF19="Year 24",AF44/(1+R9)^27,"")</f>
        <v>14.47338486175876</v>
      </c>
      <c r="AG47" s="93">
        <f>IF(AG19="Year 25",AG44/(1+R9)^28,"")</f>
        <v>13.157622601598872</v>
      </c>
      <c r="AH47" s="93">
        <f>IF(AH19="Year 26",AH44/(1+R9)^29,"")</f>
        <v>11.961475092362612</v>
      </c>
      <c r="AI47" s="93">
        <f>IF(AI19="Year 27",AI44/(1+R9)^30,"")</f>
        <v>10.874068265784191</v>
      </c>
      <c r="AJ47" s="93">
        <f>IF(AJ19="Year 28",AJ44/(1+R9)^31,"")</f>
        <v>9.8855166052583545</v>
      </c>
      <c r="AK47" s="93">
        <f>IF(AK19="Year 29",AK44/(1+R9)^32,"")</f>
        <v>8.9868332775075945</v>
      </c>
      <c r="AL47" s="93">
        <f>IF(AL19="Year 30",AL44/(1+R9)^33,"")</f>
        <v>8.1698484340978119</v>
      </c>
      <c r="AM47" s="93">
        <f>IF(AM19="Year 31",AM44/(1+R9)^34,"")</f>
        <v>0</v>
      </c>
    </row>
    <row r="48" spans="2:39" ht="13.5" thickBot="1" x14ac:dyDescent="0.25">
      <c r="B48" s="90" t="s">
        <v>131</v>
      </c>
      <c r="C48" s="91"/>
      <c r="D48" s="91"/>
      <c r="E48" s="91"/>
      <c r="F48" s="93">
        <f>F47</f>
        <v>-353.65909090909093</v>
      </c>
      <c r="G48" s="93">
        <f t="shared" ref="G48:AA48" si="11">SUM(G47+F48)</f>
        <v>-932.37396694214885</v>
      </c>
      <c r="H48" s="93">
        <f t="shared" si="11"/>
        <v>-1283.1102554470324</v>
      </c>
      <c r="I48" s="93">
        <f t="shared" si="11"/>
        <v>-1195.2981127093935</v>
      </c>
      <c r="J48" s="93">
        <f t="shared" si="11"/>
        <v>-1096.4748363400515</v>
      </c>
      <c r="K48" s="93">
        <f t="shared" si="11"/>
        <v>-989.36817082359426</v>
      </c>
      <c r="L48" s="93">
        <f t="shared" si="11"/>
        <v>-891.9984748995422</v>
      </c>
      <c r="M48" s="93">
        <f t="shared" si="11"/>
        <v>-803.48056951404033</v>
      </c>
      <c r="N48" s="93">
        <f t="shared" si="11"/>
        <v>-723.00974643631139</v>
      </c>
      <c r="O48" s="93">
        <f t="shared" si="11"/>
        <v>-649.85445272928507</v>
      </c>
      <c r="P48" s="93">
        <f t="shared" si="11"/>
        <v>-583.349640268352</v>
      </c>
      <c r="Q48" s="93">
        <f t="shared" si="11"/>
        <v>-522.89071984932195</v>
      </c>
      <c r="R48" s="93">
        <f t="shared" si="11"/>
        <v>-467.92806492293101</v>
      </c>
      <c r="S48" s="93">
        <f t="shared" si="11"/>
        <v>-417.96201498984834</v>
      </c>
      <c r="T48" s="93">
        <f t="shared" si="11"/>
        <v>-372.53833323250046</v>
      </c>
      <c r="U48" s="93">
        <f t="shared" si="11"/>
        <v>-331.24407708945694</v>
      </c>
      <c r="V48" s="93">
        <f t="shared" si="11"/>
        <v>-293.70384423214466</v>
      </c>
      <c r="W48" s="93">
        <f t="shared" si="11"/>
        <v>-259.57635981640624</v>
      </c>
      <c r="X48" s="93">
        <f t="shared" si="11"/>
        <v>-228.55137398391673</v>
      </c>
      <c r="Y48" s="93">
        <f t="shared" si="11"/>
        <v>-200.34684140892628</v>
      </c>
      <c r="Z48" s="93">
        <f t="shared" si="11"/>
        <v>-174.70635724984405</v>
      </c>
      <c r="AA48" s="93">
        <f t="shared" si="11"/>
        <v>-151.39682619613293</v>
      </c>
      <c r="AB48" s="93">
        <f>IF(AB19="Year 20",SUM(AB47+AA48),"")</f>
        <v>-130.20634342003194</v>
      </c>
      <c r="AC48" s="93">
        <f>IF(AC19="Year 21",SUM(AC47+AB48),"")</f>
        <v>-110.94226816903102</v>
      </c>
      <c r="AD48" s="93">
        <f>IF(AD19="Year 22",SUM(AD47+AC48),"")</f>
        <v>-93.429472486302927</v>
      </c>
      <c r="AE48" s="93">
        <f>IF(AE19="Year 23",SUM(AE47+AD48),"")</f>
        <v>-77.508749138368287</v>
      </c>
      <c r="AF48" s="93">
        <f>IF(AF19="Year 24",SUM(AF47+AE48),"")</f>
        <v>-63.035364276609528</v>
      </c>
      <c r="AG48" s="93">
        <f>IF(AG19="Year 25",SUM(AG47+AF48),"")</f>
        <v>-49.877741675010654</v>
      </c>
      <c r="AH48" s="93">
        <f>IF(AH19="Year 26",SUM(AH47+AG48),"")</f>
        <v>-37.916266582648042</v>
      </c>
      <c r="AI48" s="93">
        <f>IF(AI19="Year 27",SUM(AI47+AH48),"")</f>
        <v>-27.042198316863853</v>
      </c>
      <c r="AJ48" s="93">
        <f>IF(AJ19="Year 28",SUM(AJ47+AI48),"")</f>
        <v>-17.156681711605501</v>
      </c>
      <c r="AK48" s="93">
        <f>IF(AK19="Year 29",SUM(AK47+AJ48),"")</f>
        <v>-8.1698484340979061</v>
      </c>
      <c r="AL48" s="93">
        <f>IF(AL19="Year 30",SUM(AL47+AK48),"")</f>
        <v>-9.4146912488213275E-14</v>
      </c>
      <c r="AM48" s="93">
        <f>IF(AM19="Year 31",SUM(AM47+AL48),"")</f>
        <v>-9.4146912488213275E-14</v>
      </c>
    </row>
    <row r="49" spans="6:40" x14ac:dyDescent="0.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6:40" s="229" customFormat="1" x14ac:dyDescent="0.2">
      <c r="F50" s="230"/>
      <c r="G50" s="230"/>
      <c r="H50" s="230"/>
      <c r="I50" s="230"/>
      <c r="J50" s="230"/>
      <c r="K50" s="230"/>
      <c r="L50" s="230"/>
      <c r="M50" s="230"/>
      <c r="N50" s="230"/>
      <c r="O50" s="230"/>
      <c r="P50" s="230"/>
      <c r="Q50" s="230"/>
      <c r="R50" s="230"/>
      <c r="S50" s="230"/>
      <c r="T50" s="230"/>
      <c r="U50" s="230"/>
      <c r="V50" s="230"/>
      <c r="W50" s="230"/>
      <c r="X50" s="230"/>
      <c r="Y50" s="230"/>
      <c r="Z50" s="230"/>
      <c r="AA50" s="230" t="s">
        <v>203</v>
      </c>
      <c r="AB50" s="230"/>
      <c r="AC50" s="231">
        <f>SUM(AC47+AB48)</f>
        <v>-110.94226816903102</v>
      </c>
      <c r="AD50" s="231">
        <f>IF(AD47="",AC48,SUM(AD47+AC48))</f>
        <v>-93.429472486302927</v>
      </c>
      <c r="AE50" s="231">
        <f>IF(AE47="",AD50,SUM(AE47+AD50))</f>
        <v>-77.508749138368287</v>
      </c>
      <c r="AF50" s="231">
        <f>IF(AF47="",AE50,SUM(AF47+AE50))</f>
        <v>-63.035364276609528</v>
      </c>
      <c r="AG50" s="231">
        <f t="shared" ref="AG50:AN50" si="12">IF(AG47="",AF50,SUM(AG47+AF50))</f>
        <v>-49.877741675010654</v>
      </c>
      <c r="AH50" s="231">
        <f t="shared" si="12"/>
        <v>-37.916266582648042</v>
      </c>
      <c r="AI50" s="231">
        <f t="shared" si="12"/>
        <v>-27.042198316863853</v>
      </c>
      <c r="AJ50" s="231">
        <f t="shared" si="12"/>
        <v>-17.156681711605501</v>
      </c>
      <c r="AK50" s="231">
        <f t="shared" si="12"/>
        <v>-8.1698484340979061</v>
      </c>
      <c r="AL50" s="231">
        <f t="shared" si="12"/>
        <v>-9.4146912488213275E-14</v>
      </c>
      <c r="AM50" s="231">
        <f t="shared" si="12"/>
        <v>-9.4146912488213275E-14</v>
      </c>
      <c r="AN50" s="231">
        <f t="shared" si="12"/>
        <v>-9.4146912488213275E-14</v>
      </c>
    </row>
    <row r="51" spans="6:40" x14ac:dyDescent="0.2">
      <c r="F51" s="82"/>
      <c r="G51" s="82"/>
      <c r="H51" s="87"/>
    </row>
    <row r="52" spans="6:40" x14ac:dyDescent="0.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row>
    <row r="53" spans="6:40" x14ac:dyDescent="0.2">
      <c r="I53" s="82"/>
    </row>
  </sheetData>
  <sheetProtection selectLockedCells="1" selectUnlockedCells="1"/>
  <protectedRanges>
    <protectedRange sqref="AN50" name="Range2"/>
    <protectedRange sqref="R5" name="Range1"/>
  </protectedRanges>
  <customSheetViews>
    <customSheetView guid="{F792C52D-3F7D-4169-B87A-F2F2698FB257}" scale="75" fitToPage="1" showRuler="0">
      <pane xSplit="5" ySplit="15" topLeftCell="F16" activePane="bottomRight" state="frozen"/>
      <selection pane="bottomRight" activeCell="J54" sqref="J54"/>
      <pageMargins left="0.75" right="0.75" top="1" bottom="1" header="0.5" footer="0.5"/>
      <pageSetup paperSize="9" scale="39" orientation="landscape" r:id="rId1"/>
      <headerFooter alignWithMargins="0"/>
    </customSheetView>
  </customSheetViews>
  <mergeCells count="1">
    <mergeCell ref="F17:AG17"/>
  </mergeCells>
  <phoneticPr fontId="4" type="noConversion"/>
  <pageMargins left="0.75" right="0.75" top="1" bottom="1" header="0.5" footer="0.5"/>
  <pageSetup paperSize="9" scale="32"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4:AN53"/>
  <sheetViews>
    <sheetView zoomScale="75" workbookViewId="0">
      <pane xSplit="5" ySplit="15" topLeftCell="F16" activePane="bottomRight" state="frozen"/>
      <selection activeCell="E60" sqref="E60"/>
      <selection pane="topRight" activeCell="E60" sqref="E60"/>
      <selection pane="bottomLeft" activeCell="E60" sqref="E60"/>
      <selection pane="bottomRight"/>
    </sheetView>
  </sheetViews>
  <sheetFormatPr defaultRowHeight="12.75" x14ac:dyDescent="0.2"/>
  <cols>
    <col min="5" max="5" width="9.42578125" customWidth="1"/>
    <col min="6" max="7" width="10.140625" bestFit="1" customWidth="1"/>
    <col min="8" max="8" width="10.85546875" customWidth="1"/>
    <col min="9" max="9" width="11.28515625" bestFit="1" customWidth="1"/>
    <col min="10" max="10" width="10.28515625" bestFit="1" customWidth="1"/>
    <col min="11" max="11" width="9.85546875" customWidth="1"/>
    <col min="12" max="16" width="10.140625" bestFit="1" customWidth="1"/>
    <col min="17" max="17" width="13.42578125" customWidth="1"/>
    <col min="18" max="20" width="10.140625" bestFit="1" customWidth="1"/>
    <col min="21" max="28" width="9.7109375" bestFit="1" customWidth="1"/>
    <col min="29" max="29" width="10.85546875" customWidth="1"/>
    <col min="30" max="33" width="9.7109375" bestFit="1" customWidth="1"/>
  </cols>
  <sheetData>
    <row r="4" spans="2:21" x14ac:dyDescent="0.2">
      <c r="B4" s="1" t="s">
        <v>0</v>
      </c>
      <c r="G4" s="1" t="s">
        <v>6</v>
      </c>
      <c r="I4" s="1" t="s">
        <v>12</v>
      </c>
      <c r="K4" s="1" t="s">
        <v>13</v>
      </c>
      <c r="L4" s="1" t="s">
        <v>14</v>
      </c>
      <c r="P4" s="1" t="s">
        <v>16</v>
      </c>
    </row>
    <row r="5" spans="2:21" x14ac:dyDescent="0.2">
      <c r="B5" t="s">
        <v>1</v>
      </c>
      <c r="D5" t="s">
        <v>2</v>
      </c>
      <c r="E5" s="82">
        <f>'Input Data'!N26</f>
        <v>230.79166666666666</v>
      </c>
      <c r="G5" t="s">
        <v>7</v>
      </c>
      <c r="I5">
        <f>'Input Data'!N60</f>
        <v>910.00000000000011</v>
      </c>
      <c r="K5" t="s">
        <v>76</v>
      </c>
      <c r="M5">
        <f>'Input Data'!N71</f>
        <v>65</v>
      </c>
      <c r="N5" t="s">
        <v>26</v>
      </c>
      <c r="P5" t="s">
        <v>120</v>
      </c>
      <c r="R5" s="81">
        <v>5.9493504120862024E-2</v>
      </c>
      <c r="S5" t="s">
        <v>136</v>
      </c>
    </row>
    <row r="6" spans="2:21" x14ac:dyDescent="0.2">
      <c r="B6" t="s">
        <v>4</v>
      </c>
      <c r="D6" t="s">
        <v>3</v>
      </c>
      <c r="E6" s="128">
        <f>'Input Data'!N23</f>
        <v>746.1</v>
      </c>
      <c r="G6" t="s">
        <v>8</v>
      </c>
      <c r="I6" s="125">
        <f>'Input Data'!N65</f>
        <v>0.05</v>
      </c>
      <c r="K6" t="s">
        <v>20</v>
      </c>
      <c r="M6">
        <f>'Input Data'!N72</f>
        <v>34.22</v>
      </c>
      <c r="N6" t="s">
        <v>135</v>
      </c>
      <c r="P6" t="s">
        <v>104</v>
      </c>
      <c r="R6">
        <f>'Input Data'!N84</f>
        <v>40</v>
      </c>
      <c r="S6" t="s">
        <v>26</v>
      </c>
    </row>
    <row r="7" spans="2:21" ht="15.75" x14ac:dyDescent="0.3">
      <c r="B7" t="s">
        <v>5</v>
      </c>
      <c r="D7" t="s">
        <v>2</v>
      </c>
      <c r="E7">
        <f>'Input Data'!N37</f>
        <v>1.95</v>
      </c>
      <c r="G7" t="s">
        <v>9</v>
      </c>
      <c r="I7" s="125">
        <f>'Input Data'!N66</f>
        <v>0.1</v>
      </c>
      <c r="K7" t="s">
        <v>199</v>
      </c>
      <c r="M7" s="227">
        <f>'Input Data'!N77</f>
        <v>0</v>
      </c>
      <c r="N7" s="223" t="s">
        <v>26</v>
      </c>
      <c r="P7" t="s">
        <v>105</v>
      </c>
      <c r="R7" s="128">
        <f>'Input Data'!N85</f>
        <v>1307.18954248366</v>
      </c>
      <c r="S7" t="s">
        <v>26</v>
      </c>
    </row>
    <row r="8" spans="2:21" x14ac:dyDescent="0.2">
      <c r="E8" s="128"/>
      <c r="G8" t="s">
        <v>10</v>
      </c>
      <c r="I8" s="126">
        <f>'Input Data'!N64</f>
        <v>0.25</v>
      </c>
      <c r="K8" s="1" t="s">
        <v>121</v>
      </c>
      <c r="N8" s="85" t="s">
        <v>126</v>
      </c>
      <c r="P8" s="1"/>
      <c r="Q8" s="1"/>
      <c r="R8" s="98"/>
      <c r="S8" s="1"/>
      <c r="T8" s="99"/>
      <c r="U8" s="1"/>
    </row>
    <row r="9" spans="2:21" x14ac:dyDescent="0.2">
      <c r="K9" t="s">
        <v>106</v>
      </c>
      <c r="N9">
        <f>'Input Data'!N78</f>
        <v>115</v>
      </c>
      <c r="P9" t="s">
        <v>127</v>
      </c>
      <c r="R9" s="86">
        <f>'Input Data'!N86</f>
        <v>0.1</v>
      </c>
      <c r="T9" s="200"/>
    </row>
    <row r="10" spans="2:21" x14ac:dyDescent="0.2">
      <c r="B10" s="179" t="str">
        <f>IF('Input Data'!N10&gt;0.001,"Performance Data: User Adjusted","")</f>
        <v/>
      </c>
      <c r="G10" t="s">
        <v>11</v>
      </c>
      <c r="I10" s="128">
        <f>I5+(I6*I5)+(I5*I7)+(I5*I8)</f>
        <v>1274.0000000000002</v>
      </c>
      <c r="K10" t="s">
        <v>107</v>
      </c>
      <c r="N10">
        <f>'Input Data'!N79</f>
        <v>0.05</v>
      </c>
      <c r="P10" t="s">
        <v>24</v>
      </c>
      <c r="R10" s="83">
        <f>'Input Data'!N81</f>
        <v>0.02</v>
      </c>
      <c r="S10" t="s">
        <v>125</v>
      </c>
    </row>
    <row r="11" spans="2:21" x14ac:dyDescent="0.2">
      <c r="K11" t="s">
        <v>122</v>
      </c>
      <c r="N11" s="83">
        <f>'Input Data'!N80</f>
        <v>0.3</v>
      </c>
    </row>
    <row r="12" spans="2:21" x14ac:dyDescent="0.2">
      <c r="K12" s="1" t="s">
        <v>133</v>
      </c>
      <c r="N12" s="272">
        <f>(N9*N10)*(1+N11)</f>
        <v>7.4750000000000005</v>
      </c>
    </row>
    <row r="13" spans="2:21" x14ac:dyDescent="0.2">
      <c r="G13" s="179" t="str">
        <f>IF('Input Data'!N47&gt;0.001,"Capital and Cost Data: User Adjusted","")</f>
        <v/>
      </c>
      <c r="P13" s="179" t="str">
        <f>IF('Input Data'!N83&gt;0.001,"Revenue Data: User Adjusted","")</f>
        <v/>
      </c>
    </row>
    <row r="14" spans="2:21" x14ac:dyDescent="0.2">
      <c r="G14" s="177"/>
      <c r="K14" s="179" t="str">
        <f>IF('Input Data'!N70&gt;0.001,"Operating Data: User Adjusted","")</f>
        <v/>
      </c>
    </row>
    <row r="15" spans="2:21" x14ac:dyDescent="0.2">
      <c r="G15" s="177"/>
    </row>
    <row r="16" spans="2:21" ht="13.5" thickBot="1" x14ac:dyDescent="0.25">
      <c r="G16" s="177"/>
    </row>
    <row r="17" spans="2:39" ht="18" customHeight="1"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Data'!K102</f>
        <v>2012</v>
      </c>
      <c r="J18" s="78">
        <f>'Input Data'!K103</f>
        <v>2013</v>
      </c>
      <c r="K18" s="78">
        <f>'Input Data'!K104</f>
        <v>2014</v>
      </c>
      <c r="L18" s="78">
        <f>'Input Data'!K105</f>
        <v>2015</v>
      </c>
      <c r="M18" s="78">
        <f>'Input Data'!K106</f>
        <v>2016</v>
      </c>
      <c r="N18" s="78">
        <f>'Input Data'!K107</f>
        <v>2017</v>
      </c>
      <c r="O18" s="78">
        <f>'Input Data'!K108</f>
        <v>2018</v>
      </c>
      <c r="P18" s="78">
        <f>'Input Data'!K109</f>
        <v>2019</v>
      </c>
      <c r="Q18" s="78">
        <f>'Input Data'!K110</f>
        <v>2020</v>
      </c>
      <c r="R18" s="78">
        <f>'Input Data'!K111</f>
        <v>2021</v>
      </c>
      <c r="S18" s="78">
        <f>'Input Data'!K112</f>
        <v>2022</v>
      </c>
      <c r="T18" s="78">
        <f>'Input Data'!K113</f>
        <v>2023</v>
      </c>
      <c r="U18" s="78">
        <f>'Input Data'!K114</f>
        <v>2024</v>
      </c>
      <c r="V18" s="78">
        <f>'Input Data'!K115</f>
        <v>2025</v>
      </c>
      <c r="W18" s="78">
        <f>'Input Data'!K116</f>
        <v>2026</v>
      </c>
      <c r="X18" s="78">
        <f>'Input Data'!K117</f>
        <v>2027</v>
      </c>
      <c r="Y18" s="78">
        <f>'Input Data'!K118</f>
        <v>2028</v>
      </c>
      <c r="Z18" s="78">
        <f>'Input Data'!K119</f>
        <v>2029</v>
      </c>
      <c r="AA18" s="78">
        <f>'Input Data'!K120</f>
        <v>2030</v>
      </c>
      <c r="AB18" s="78">
        <f>'Input Data'!K121</f>
        <v>2031</v>
      </c>
      <c r="AC18" s="78">
        <f>'Input Data'!K122</f>
        <v>2032</v>
      </c>
      <c r="AD18" s="78">
        <f>'Input Data'!K123</f>
        <v>2033</v>
      </c>
      <c r="AE18" s="78">
        <f>'Input Data'!K124</f>
        <v>2034</v>
      </c>
      <c r="AF18" s="78">
        <f>'Input Data'!K125</f>
        <v>2035</v>
      </c>
      <c r="AG18" s="78">
        <f>'Input Data'!K126</f>
        <v>2036</v>
      </c>
      <c r="AH18" s="78">
        <f>'Input Data'!K127</f>
        <v>2037</v>
      </c>
      <c r="AI18" s="78">
        <f>'Input Data'!K128</f>
        <v>2038</v>
      </c>
      <c r="AJ18" s="78">
        <f>'Input Data'!K129</f>
        <v>2039</v>
      </c>
      <c r="AK18" s="78">
        <f>'Input Data'!K130</f>
        <v>2040</v>
      </c>
      <c r="AL18" s="78">
        <f>'Input Data'!K131</f>
        <v>2041</v>
      </c>
      <c r="AM18" s="79">
        <f>'Input Data'!K132</f>
        <v>2042</v>
      </c>
    </row>
    <row r="19" spans="2:39" ht="22.5" customHeight="1" thickBot="1" x14ac:dyDescent="0.25">
      <c r="B19" s="1" t="s">
        <v>12</v>
      </c>
      <c r="F19" s="190" t="s">
        <v>169</v>
      </c>
      <c r="G19" s="188" t="s">
        <v>168</v>
      </c>
      <c r="H19" s="188" t="s">
        <v>167</v>
      </c>
      <c r="I19" s="188" t="str">
        <f>'Input Data'!J102</f>
        <v>Year 1</v>
      </c>
      <c r="J19" s="188" t="str">
        <f>'Input Data'!J103</f>
        <v>Year 2</v>
      </c>
      <c r="K19" s="188" t="str">
        <f>'Input Data'!J104</f>
        <v>Year 3</v>
      </c>
      <c r="L19" s="188" t="str">
        <f>'Input Data'!J105</f>
        <v>Year 4</v>
      </c>
      <c r="M19" s="188" t="str">
        <f>'Input Data'!J106</f>
        <v>Year 5</v>
      </c>
      <c r="N19" s="188" t="str">
        <f>'Input Data'!J107</f>
        <v>Year 6</v>
      </c>
      <c r="O19" s="188" t="str">
        <f>'Input Data'!J108</f>
        <v>Year 7</v>
      </c>
      <c r="P19" s="188" t="str">
        <f>'Input Data'!J109</f>
        <v>Year 8</v>
      </c>
      <c r="Q19" s="188" t="str">
        <f>'Input Data'!J110</f>
        <v>Year 9</v>
      </c>
      <c r="R19" s="188" t="str">
        <f>'Input Data'!J111</f>
        <v>Year 10</v>
      </c>
      <c r="S19" s="188" t="str">
        <f>'Input Data'!J112</f>
        <v>Year 11</v>
      </c>
      <c r="T19" s="188" t="str">
        <f>'Input Data'!J113</f>
        <v>Year 12</v>
      </c>
      <c r="U19" s="188" t="str">
        <f>'Input Data'!J114</f>
        <v>Year 13</v>
      </c>
      <c r="V19" s="188" t="str">
        <f>'Input Data'!J115</f>
        <v>Year 14</v>
      </c>
      <c r="W19" s="188" t="str">
        <f>'Input Data'!J116</f>
        <v>Year 15</v>
      </c>
      <c r="X19" s="188" t="str">
        <f>'Input Data'!J117</f>
        <v>Year 16</v>
      </c>
      <c r="Y19" s="188" t="str">
        <f>'Input Data'!J118</f>
        <v>Year 17</v>
      </c>
      <c r="Z19" s="188" t="str">
        <f>'Input Data'!J119</f>
        <v>Year 18</v>
      </c>
      <c r="AA19" s="188" t="str">
        <f>'Input Data'!J120</f>
        <v>Year 19</v>
      </c>
      <c r="AB19" s="188" t="str">
        <f>'Input Data'!J121</f>
        <v>Year 20</v>
      </c>
      <c r="AC19" s="188" t="str">
        <f>'Input Data'!J122</f>
        <v>Year 21</v>
      </c>
      <c r="AD19" s="188" t="str">
        <f>'Input Data'!J123</f>
        <v>Year 22</v>
      </c>
      <c r="AE19" s="188" t="str">
        <f>'Input Data'!J124</f>
        <v>Year 23</v>
      </c>
      <c r="AF19" s="188" t="str">
        <f>'Input Data'!J125</f>
        <v>Year 24</v>
      </c>
      <c r="AG19" s="188" t="str">
        <f>'Input Data'!J126</f>
        <v>Year 25</v>
      </c>
      <c r="AH19" s="188" t="str">
        <f>'Input Data'!J127</f>
        <v>Year 26</v>
      </c>
      <c r="AI19" s="188" t="str">
        <f>'Input Data'!J128</f>
        <v>Year 27</v>
      </c>
      <c r="AJ19" s="188" t="str">
        <f>'Input Data'!J129</f>
        <v>Year 28</v>
      </c>
      <c r="AK19" s="188" t="str">
        <f>'Input Data'!J130</f>
        <v>Year 29</v>
      </c>
      <c r="AL19" s="188" t="str">
        <f>'Input Data'!J131</f>
        <v>Year 30</v>
      </c>
      <c r="AM19" s="189" t="str">
        <f>'Input Data'!J132</f>
        <v>Year 31</v>
      </c>
    </row>
    <row r="21" spans="2:39" x14ac:dyDescent="0.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9" x14ac:dyDescent="0.2">
      <c r="B22" s="1" t="s">
        <v>151</v>
      </c>
      <c r="F22" s="80"/>
      <c r="G22" s="80"/>
      <c r="H22" s="80"/>
      <c r="I22" s="80">
        <f>'Input Data'!L102</f>
        <v>1</v>
      </c>
      <c r="J22" s="80">
        <f>'Input Data'!L103</f>
        <v>1</v>
      </c>
      <c r="K22" s="80">
        <f>'Input Data'!L104</f>
        <v>1</v>
      </c>
      <c r="L22" s="80">
        <f>'Input Data'!L105</f>
        <v>1</v>
      </c>
      <c r="M22" s="80">
        <f>'Input Data'!L106</f>
        <v>1</v>
      </c>
      <c r="N22" s="80">
        <f>'Input Data'!L107</f>
        <v>1</v>
      </c>
      <c r="O22" s="80">
        <f>'Input Data'!L108</f>
        <v>1</v>
      </c>
      <c r="P22" s="80">
        <f>'Input Data'!L109</f>
        <v>1</v>
      </c>
      <c r="Q22" s="80">
        <f>'Input Data'!L110</f>
        <v>1</v>
      </c>
      <c r="R22" s="80">
        <f>'Input Data'!L111</f>
        <v>1</v>
      </c>
      <c r="S22" s="80">
        <f>'Input Data'!L112</f>
        <v>1</v>
      </c>
      <c r="T22" s="80">
        <f>'Input Data'!L113</f>
        <v>1</v>
      </c>
      <c r="U22" s="80">
        <f>'Input Data'!L114</f>
        <v>1</v>
      </c>
      <c r="V22" s="80">
        <f>'Input Data'!L115</f>
        <v>1</v>
      </c>
      <c r="W22" s="80">
        <f>'Input Data'!L116</f>
        <v>1</v>
      </c>
      <c r="X22" s="80">
        <f>'Input Data'!L117</f>
        <v>1</v>
      </c>
      <c r="Y22" s="80">
        <f>'Input Data'!L118</f>
        <v>1</v>
      </c>
      <c r="Z22" s="80">
        <f>'Input Data'!L119</f>
        <v>1</v>
      </c>
      <c r="AA22" s="80">
        <f>'Input Data'!L120</f>
        <v>1</v>
      </c>
      <c r="AB22" s="80">
        <f>'Input Data'!L121</f>
        <v>1</v>
      </c>
      <c r="AC22" s="80">
        <f>IF('Input Data'!N89&gt;20,'Input Data'!L122,"")</f>
        <v>1</v>
      </c>
      <c r="AD22" s="80">
        <f>IF(AD19="Year 22",'Input Data'!L123,"")</f>
        <v>1</v>
      </c>
      <c r="AE22" s="80">
        <f>IF(AE19="Year 23",'Input Data'!L124,"")</f>
        <v>1</v>
      </c>
      <c r="AF22" s="80">
        <f>IF(AF19="Year 24",'Input Data'!L125,"")</f>
        <v>1</v>
      </c>
      <c r="AG22" s="80">
        <f>IF(AG19="Year 25",'Input Data'!L126,"")</f>
        <v>1</v>
      </c>
      <c r="AH22" s="80">
        <f>IF('Input Data'!N89&gt;25,'Input Data'!L127,"")</f>
        <v>1</v>
      </c>
      <c r="AI22" s="80">
        <f>IF(AI19="Year 27",'Input Data'!L128,"")</f>
        <v>1</v>
      </c>
      <c r="AJ22" s="80">
        <f>IF(AJ19="Year 28",'Input Data'!L129,"")</f>
        <v>1</v>
      </c>
      <c r="AK22" s="80">
        <f>IF(AK19="Year 29",'Input Data'!L130,"")</f>
        <v>1</v>
      </c>
      <c r="AL22" s="80">
        <f>IF(AL19="Year 30",'Input Data'!L131,"")</f>
        <v>1</v>
      </c>
      <c r="AM22" s="80" t="str">
        <f>IF('Input Data'!N89&gt;30,'Input Data'!L132,"")</f>
        <v/>
      </c>
    </row>
    <row r="23" spans="2:39" x14ac:dyDescent="0.2">
      <c r="B23" s="1" t="s">
        <v>152</v>
      </c>
      <c r="F23" s="80"/>
      <c r="G23" s="80"/>
      <c r="H23" s="80"/>
      <c r="I23" s="80">
        <f>'Input Data'!M102</f>
        <v>1</v>
      </c>
      <c r="J23" s="80">
        <f>'Input Data'!M103</f>
        <v>1</v>
      </c>
      <c r="K23" s="80">
        <f>'Input Data'!M104</f>
        <v>1</v>
      </c>
      <c r="L23" s="80">
        <f>'Input Data'!M105</f>
        <v>1</v>
      </c>
      <c r="M23" s="80">
        <f>'Input Data'!M106</f>
        <v>1</v>
      </c>
      <c r="N23" s="80">
        <f>'Input Data'!M107</f>
        <v>1</v>
      </c>
      <c r="O23" s="80">
        <f>'Input Data'!M108</f>
        <v>1</v>
      </c>
      <c r="P23" s="80">
        <f>'Input Data'!M109</f>
        <v>1</v>
      </c>
      <c r="Q23" s="80">
        <f>'Input Data'!M110</f>
        <v>1</v>
      </c>
      <c r="R23" s="80">
        <f>'Input Data'!M111</f>
        <v>1</v>
      </c>
      <c r="S23" s="80">
        <f>'Input Data'!M112</f>
        <v>1</v>
      </c>
      <c r="T23" s="80">
        <f>'Input Data'!M113</f>
        <v>1</v>
      </c>
      <c r="U23" s="80">
        <f>'Input Data'!M114</f>
        <v>1</v>
      </c>
      <c r="V23" s="80">
        <f>'Input Data'!M115</f>
        <v>1</v>
      </c>
      <c r="W23" s="80">
        <f>'Input Data'!M116</f>
        <v>1</v>
      </c>
      <c r="X23" s="80">
        <f>'Input Data'!M117</f>
        <v>1</v>
      </c>
      <c r="Y23" s="80">
        <f>'Input Data'!M118</f>
        <v>1</v>
      </c>
      <c r="Z23" s="80">
        <f>'Input Data'!M119</f>
        <v>1</v>
      </c>
      <c r="AA23" s="80">
        <f>'Input Data'!M120</f>
        <v>1</v>
      </c>
      <c r="AB23" s="80">
        <f>'Input Data'!M121</f>
        <v>1</v>
      </c>
      <c r="AC23" s="80">
        <f>IF('Input Data'!N89&gt;20,'Input Data'!M122,"")</f>
        <v>1</v>
      </c>
      <c r="AD23" s="80">
        <f>IF(AD19="Year 22",'Input Data'!M123,"")</f>
        <v>1</v>
      </c>
      <c r="AE23" s="80">
        <f>IF(AE19="Year 23",'Input Data'!M124,"")</f>
        <v>1</v>
      </c>
      <c r="AF23" s="80">
        <f>IF(AF19="Year 24",'Input Data'!M125,"")</f>
        <v>1</v>
      </c>
      <c r="AG23" s="80">
        <f>IF(AG19="Year 25",'Input Data'!M126,"")</f>
        <v>1</v>
      </c>
      <c r="AH23" s="80">
        <f>IF('Input Data'!N89&gt;25,'Input Data'!M127,"")</f>
        <v>1</v>
      </c>
      <c r="AI23" s="80">
        <f>IF(AI19="Year 27",'Input Data'!M128,"")</f>
        <v>1</v>
      </c>
      <c r="AJ23" s="80">
        <f>IF(AJ19="Year 28",'Input Data'!M129,"")</f>
        <v>1</v>
      </c>
      <c r="AK23" s="80">
        <f>IF(AK19="Year 29",'Input Data'!M130,"")</f>
        <v>1</v>
      </c>
      <c r="AL23" s="80">
        <f>IF(AL19="Year 30",'Input Data'!M131,"")</f>
        <v>1</v>
      </c>
      <c r="AM23" s="80" t="str">
        <f>IF('Input Data'!N89&gt;30,'Input Data'!M132,"")</f>
        <v/>
      </c>
    </row>
    <row r="24" spans="2:39" x14ac:dyDescent="0.2">
      <c r="B24" s="1" t="s">
        <v>153</v>
      </c>
      <c r="F24" s="80"/>
      <c r="G24" s="80"/>
      <c r="H24" s="80"/>
      <c r="I24" s="80">
        <f>'Input Data'!N102</f>
        <v>0.65</v>
      </c>
      <c r="J24" s="80">
        <f>'Input Data'!N103</f>
        <v>0.75</v>
      </c>
      <c r="K24" s="80">
        <f>'Input Data'!N104</f>
        <v>0.85</v>
      </c>
      <c r="L24" s="80">
        <f>'Input Data'!N105</f>
        <v>0.85</v>
      </c>
      <c r="M24" s="80">
        <f>'Input Data'!N106</f>
        <v>0.85</v>
      </c>
      <c r="N24" s="80">
        <f>'Input Data'!N107</f>
        <v>0.85</v>
      </c>
      <c r="O24" s="80">
        <f>'Input Data'!N108</f>
        <v>0.85</v>
      </c>
      <c r="P24" s="80">
        <f>'Input Data'!N109</f>
        <v>0.85</v>
      </c>
      <c r="Q24" s="80">
        <f>'Input Data'!N110</f>
        <v>0.85</v>
      </c>
      <c r="R24" s="80">
        <f>'Input Data'!N111</f>
        <v>0.85</v>
      </c>
      <c r="S24" s="80">
        <f>'Input Data'!N112</f>
        <v>0.85</v>
      </c>
      <c r="T24" s="80">
        <f>'Input Data'!N113</f>
        <v>0.85</v>
      </c>
      <c r="U24" s="80">
        <f>'Input Data'!N114</f>
        <v>0.85</v>
      </c>
      <c r="V24" s="80">
        <f>'Input Data'!N115</f>
        <v>0.85</v>
      </c>
      <c r="W24" s="80">
        <f>'Input Data'!N116</f>
        <v>0.85</v>
      </c>
      <c r="X24" s="80">
        <f>'Input Data'!N117</f>
        <v>0.85</v>
      </c>
      <c r="Y24" s="80">
        <f>'Input Data'!N118</f>
        <v>0.85</v>
      </c>
      <c r="Z24" s="80">
        <f>'Input Data'!N119</f>
        <v>0.85</v>
      </c>
      <c r="AA24" s="80">
        <f>'Input Data'!N120</f>
        <v>0.85</v>
      </c>
      <c r="AB24" s="80">
        <f>'Input Data'!N121</f>
        <v>0.85</v>
      </c>
      <c r="AC24" s="80">
        <f>IF('Input Data'!N89&gt;20,'Input Data'!N122,"")</f>
        <v>0.85</v>
      </c>
      <c r="AD24" s="80">
        <f>IF(AD19="Year 22",'Input Data'!N123,"")</f>
        <v>0.85</v>
      </c>
      <c r="AE24" s="80">
        <f>IF(AE19="Year 23",'Input Data'!N124,"")</f>
        <v>0.85</v>
      </c>
      <c r="AF24" s="80">
        <f>IF(AF19="Year 24",'Input Data'!N125,"")</f>
        <v>0.85</v>
      </c>
      <c r="AG24" s="80">
        <f>IF(AG19="Year 25",'Input Data'!N126,"")</f>
        <v>0.85</v>
      </c>
      <c r="AH24" s="80">
        <f>IF('Input Data'!N89&gt;25,'Input Data'!N127,"")</f>
        <v>0.85</v>
      </c>
      <c r="AI24" s="80">
        <f>IF(AI19="Year 27",'Input Data'!N128,"")</f>
        <v>0.85</v>
      </c>
      <c r="AJ24" s="80">
        <f>IF(AJ19="Year 28",'Input Data'!N129,"")</f>
        <v>0.85</v>
      </c>
      <c r="AK24" s="80">
        <f>IF(AK19="Year 29",'Input Data'!N130,"")</f>
        <v>0.85</v>
      </c>
      <c r="AL24" s="80">
        <f>IF(AL19="Year 30",'Input Data'!N131,"")</f>
        <v>0.85</v>
      </c>
      <c r="AM24" s="80" t="str">
        <f>IF('Input Data'!N89&gt;30,'Input Data'!N132,"")</f>
        <v/>
      </c>
    </row>
    <row r="25" spans="2:39" x14ac:dyDescent="0.2">
      <c r="B25" s="1" t="s">
        <v>154</v>
      </c>
      <c r="F25" s="80"/>
      <c r="G25" s="80"/>
      <c r="H25" s="80"/>
      <c r="I25" s="80">
        <f>'Input Data'!O102</f>
        <v>0.65</v>
      </c>
      <c r="J25" s="80">
        <f>'Input Data'!O103</f>
        <v>0.75</v>
      </c>
      <c r="K25" s="80">
        <f>'Input Data'!O104</f>
        <v>0.85</v>
      </c>
      <c r="L25" s="80">
        <f>'Input Data'!O105</f>
        <v>0.85</v>
      </c>
      <c r="M25" s="80">
        <f>'Input Data'!O106</f>
        <v>0.85</v>
      </c>
      <c r="N25" s="80">
        <f>'Input Data'!O107</f>
        <v>0.85</v>
      </c>
      <c r="O25" s="80">
        <f>'Input Data'!O108</f>
        <v>0.85</v>
      </c>
      <c r="P25" s="80">
        <f>'Input Data'!O109</f>
        <v>0.85</v>
      </c>
      <c r="Q25" s="80">
        <f>'Input Data'!O110</f>
        <v>0.85</v>
      </c>
      <c r="R25" s="80">
        <f>'Input Data'!O111</f>
        <v>0.85</v>
      </c>
      <c r="S25" s="80">
        <f>'Input Data'!O112</f>
        <v>0.85</v>
      </c>
      <c r="T25" s="80">
        <f>'Input Data'!O113</f>
        <v>0.85</v>
      </c>
      <c r="U25" s="80">
        <f>'Input Data'!O114</f>
        <v>0.85</v>
      </c>
      <c r="V25" s="80">
        <f>'Input Data'!O115</f>
        <v>0.85</v>
      </c>
      <c r="W25" s="80">
        <f>'Input Data'!O116</f>
        <v>0.85</v>
      </c>
      <c r="X25" s="80">
        <f>'Input Data'!O117</f>
        <v>0.85</v>
      </c>
      <c r="Y25" s="80">
        <f>'Input Data'!O118</f>
        <v>0.85</v>
      </c>
      <c r="Z25" s="80">
        <f>'Input Data'!O119</f>
        <v>0.85</v>
      </c>
      <c r="AA25" s="80">
        <f>'Input Data'!O120</f>
        <v>0.85</v>
      </c>
      <c r="AB25" s="80">
        <f>'Input Data'!O121</f>
        <v>0.85</v>
      </c>
      <c r="AC25" s="80">
        <f>IF('Input Data'!N89&gt;20,'Input Data'!O122,"")</f>
        <v>0.85</v>
      </c>
      <c r="AD25" s="80">
        <f>IF(AD19="Year 22",'Input Data'!O123,"")</f>
        <v>0.85</v>
      </c>
      <c r="AE25" s="80">
        <f>IF(AE19="Year 23",'Input Data'!O124,"")</f>
        <v>0.85</v>
      </c>
      <c r="AF25" s="80">
        <f>IF(AF19="Year 24",'Input Data'!O125,"")</f>
        <v>0.85</v>
      </c>
      <c r="AG25" s="80">
        <f>IF(AG19="Year 25",'Input Data'!O126,"")</f>
        <v>0.85</v>
      </c>
      <c r="AH25" s="80">
        <f>IF('Input Data'!N89&gt;25,'Input Data'!O127,"")</f>
        <v>0.85</v>
      </c>
      <c r="AI25" s="80">
        <f>IF(AI19="Year 27",'Input Data'!O128,"")</f>
        <v>0.85</v>
      </c>
      <c r="AJ25" s="80">
        <f>IF(AJ19="Year 28",'Input Data'!O129,"")</f>
        <v>0.85</v>
      </c>
      <c r="AK25" s="80">
        <f>IF(AK19="Year 29",'Input Data'!O130,"")</f>
        <v>0.85</v>
      </c>
      <c r="AL25" s="80">
        <f>IF(AL19="Year 30",'Input Data'!O131,"")</f>
        <v>0.85</v>
      </c>
      <c r="AM25" s="80" t="str">
        <f>IF('Input Data'!N89&gt;30,'Input Data'!O132,"")</f>
        <v/>
      </c>
    </row>
    <row r="26" spans="2:39" x14ac:dyDescent="0.2">
      <c r="B26" s="2" t="s">
        <v>155</v>
      </c>
      <c r="F26" s="3"/>
      <c r="G26" s="3"/>
      <c r="H26" s="3"/>
      <c r="I26" s="101">
        <f t="shared" ref="I26:AB26" si="0">I22*8760*I24</f>
        <v>5694</v>
      </c>
      <c r="J26" s="101">
        <f t="shared" si="0"/>
        <v>6570</v>
      </c>
      <c r="K26" s="101">
        <f t="shared" si="0"/>
        <v>7446</v>
      </c>
      <c r="L26" s="101">
        <f t="shared" si="0"/>
        <v>7446</v>
      </c>
      <c r="M26" s="101">
        <f t="shared" si="0"/>
        <v>7446</v>
      </c>
      <c r="N26" s="101">
        <f t="shared" si="0"/>
        <v>7446</v>
      </c>
      <c r="O26" s="101">
        <f t="shared" si="0"/>
        <v>7446</v>
      </c>
      <c r="P26" s="101">
        <f t="shared" si="0"/>
        <v>7446</v>
      </c>
      <c r="Q26" s="101">
        <f t="shared" si="0"/>
        <v>7446</v>
      </c>
      <c r="R26" s="101">
        <f t="shared" si="0"/>
        <v>7446</v>
      </c>
      <c r="S26" s="101">
        <f t="shared" si="0"/>
        <v>7446</v>
      </c>
      <c r="T26" s="101">
        <f t="shared" si="0"/>
        <v>7446</v>
      </c>
      <c r="U26" s="101">
        <f t="shared" si="0"/>
        <v>7446</v>
      </c>
      <c r="V26" s="101">
        <f t="shared" si="0"/>
        <v>7446</v>
      </c>
      <c r="W26" s="101">
        <f t="shared" si="0"/>
        <v>7446</v>
      </c>
      <c r="X26" s="101">
        <f t="shared" si="0"/>
        <v>7446</v>
      </c>
      <c r="Y26" s="101">
        <f t="shared" si="0"/>
        <v>7446</v>
      </c>
      <c r="Z26" s="101">
        <f t="shared" si="0"/>
        <v>7446</v>
      </c>
      <c r="AA26" s="101">
        <f t="shared" si="0"/>
        <v>7446</v>
      </c>
      <c r="AB26" s="101">
        <f t="shared" si="0"/>
        <v>7446</v>
      </c>
      <c r="AC26" s="101">
        <f>IF('Input Data'!N89&gt;20,AC22*8760*AC24,"")</f>
        <v>7446</v>
      </c>
      <c r="AD26" s="101">
        <f>IF(AD19="Year 22",AD22*8760*AD24,"")</f>
        <v>7446</v>
      </c>
      <c r="AE26" s="101">
        <f>IF(AE19="Year 23",AE22*8760*AE24,"")</f>
        <v>7446</v>
      </c>
      <c r="AF26" s="101">
        <f>IF(AF19="Year 24",AF22*8760*AF24,"")</f>
        <v>7446</v>
      </c>
      <c r="AG26" s="101">
        <f>IF(AG19="Year 25",AG22*8760*AG24,"")</f>
        <v>7446</v>
      </c>
      <c r="AH26" s="101">
        <f>IF('Input Data'!N89&gt;25,AH22*8760*AH24,"")</f>
        <v>7446</v>
      </c>
      <c r="AI26" s="101">
        <f>IF(AI19="Year 27",AI22*8760*AI24,"")</f>
        <v>7446</v>
      </c>
      <c r="AJ26" s="101">
        <f>IF(AJ19="Year 28",AJ22*8760*AJ24,"")</f>
        <v>7446</v>
      </c>
      <c r="AK26" s="101">
        <f>IF(AK19="Year 29",AK22*8760*AK24,"")</f>
        <v>7446</v>
      </c>
      <c r="AL26" s="101">
        <f>IF(AL19="Year 30",AL22*8760*AL24,"")</f>
        <v>7446</v>
      </c>
      <c r="AM26" s="101" t="str">
        <f>IF('Input Data'!N89&gt;30,AM22*8760*AM24,"")</f>
        <v/>
      </c>
    </row>
    <row r="27" spans="2:39" x14ac:dyDescent="0.2">
      <c r="B27" s="2" t="s">
        <v>156</v>
      </c>
      <c r="F27" s="3"/>
      <c r="G27" s="3"/>
      <c r="H27" s="3"/>
      <c r="I27" s="101">
        <f t="shared" ref="I27:AB27" si="1">I23*8760*I25</f>
        <v>5694</v>
      </c>
      <c r="J27" s="101">
        <f t="shared" si="1"/>
        <v>6570</v>
      </c>
      <c r="K27" s="101">
        <f t="shared" si="1"/>
        <v>7446</v>
      </c>
      <c r="L27" s="101">
        <f t="shared" si="1"/>
        <v>7446</v>
      </c>
      <c r="M27" s="101">
        <f t="shared" si="1"/>
        <v>7446</v>
      </c>
      <c r="N27" s="101">
        <f t="shared" si="1"/>
        <v>7446</v>
      </c>
      <c r="O27" s="101">
        <f t="shared" si="1"/>
        <v>7446</v>
      </c>
      <c r="P27" s="101">
        <f t="shared" si="1"/>
        <v>7446</v>
      </c>
      <c r="Q27" s="101">
        <f t="shared" si="1"/>
        <v>7446</v>
      </c>
      <c r="R27" s="101">
        <f t="shared" si="1"/>
        <v>7446</v>
      </c>
      <c r="S27" s="101">
        <f t="shared" si="1"/>
        <v>7446</v>
      </c>
      <c r="T27" s="101">
        <f t="shared" si="1"/>
        <v>7446</v>
      </c>
      <c r="U27" s="101">
        <f t="shared" si="1"/>
        <v>7446</v>
      </c>
      <c r="V27" s="101">
        <f t="shared" si="1"/>
        <v>7446</v>
      </c>
      <c r="W27" s="101">
        <f t="shared" si="1"/>
        <v>7446</v>
      </c>
      <c r="X27" s="101">
        <f t="shared" si="1"/>
        <v>7446</v>
      </c>
      <c r="Y27" s="101">
        <f t="shared" si="1"/>
        <v>7446</v>
      </c>
      <c r="Z27" s="101">
        <f t="shared" si="1"/>
        <v>7446</v>
      </c>
      <c r="AA27" s="101">
        <f t="shared" si="1"/>
        <v>7446</v>
      </c>
      <c r="AB27" s="101">
        <f t="shared" si="1"/>
        <v>7446</v>
      </c>
      <c r="AC27" s="101">
        <f>IF('Input Data'!N89&gt;20,AC23*8760*AC25,"")</f>
        <v>7446</v>
      </c>
      <c r="AD27" s="101">
        <f>IF(AD19="Year 22",AD23*8760*AD25,"")</f>
        <v>7446</v>
      </c>
      <c r="AE27" s="101">
        <f>IF(AE19="Year 23",AE23*8760*AE25,"")</f>
        <v>7446</v>
      </c>
      <c r="AF27" s="101">
        <f>IF(AF19="Year 24",AF23*8760*AF25,"")</f>
        <v>7446</v>
      </c>
      <c r="AG27" s="101">
        <f>IF(AG19="Year 25",AG23*8760*AG25,"")</f>
        <v>7446</v>
      </c>
      <c r="AH27" s="101">
        <f>IF('Input Data'!N89&gt;25,AH23*8760*AH25,"")</f>
        <v>7446</v>
      </c>
      <c r="AI27" s="101">
        <f>IF(AI19="Year 27",AI23*8760*AI25,"")</f>
        <v>7446</v>
      </c>
      <c r="AJ27" s="101">
        <f>IF(AJ19="Year 28",AJ23*8760*AJ25,"")</f>
        <v>7446</v>
      </c>
      <c r="AK27" s="101">
        <f>IF(AK19="Year 29",AK23*8760*AK25,"")</f>
        <v>7446</v>
      </c>
      <c r="AL27" s="101">
        <f>IF(AL19="Year 30",AL23*8760*AL25,"")</f>
        <v>7446</v>
      </c>
      <c r="AM27" s="101" t="str">
        <f>IF('Input Data'!N89&gt;30,AM23*8760*AM25,"")</f>
        <v/>
      </c>
    </row>
    <row r="28" spans="2:39" x14ac:dyDescent="0.2">
      <c r="B28" s="1" t="s">
        <v>209</v>
      </c>
      <c r="E28" t="s">
        <v>207</v>
      </c>
      <c r="F28" s="3"/>
      <c r="G28" s="3"/>
      <c r="H28" s="3"/>
      <c r="I28" s="87">
        <f>IF(((I26-I27)*'Input Data'!$N$38&gt;0),(I26-I27)*'Input Data'!$N$38,0)</f>
        <v>0</v>
      </c>
      <c r="J28" s="87">
        <f>IF(((J26-J27)*'Input Data'!$N$38&gt;0),(J26-J27)*'Input Data'!$N$38,0)</f>
        <v>0</v>
      </c>
      <c r="K28" s="87">
        <f>IF(((K26-K27)*'Input Data'!$N$38&gt;0),(K26-K27)*'Input Data'!$N$38,0)</f>
        <v>0</v>
      </c>
      <c r="L28" s="87">
        <f>IF(((L26-L27)*'Input Data'!$N$38&gt;0),(L26-L27)*'Input Data'!$N$38,0)</f>
        <v>0</v>
      </c>
      <c r="M28" s="87">
        <f>IF(((M26-M27)*'Input Data'!$N$38&gt;0),(M26-M27)*'Input Data'!$N$38,0)</f>
        <v>0</v>
      </c>
      <c r="N28" s="87">
        <f>IF(((N26-N27)*'Input Data'!$N$38&gt;0),(N26-N27)*'Input Data'!$N$38,0)</f>
        <v>0</v>
      </c>
      <c r="O28" s="87">
        <f>IF(((O26-O27)*'Input Data'!$N$38&gt;0),(O26-O27)*'Input Data'!$N$38,0)</f>
        <v>0</v>
      </c>
      <c r="P28" s="87">
        <f>IF(((P26-P27)*'Input Data'!$N$38&gt;0),(P26-P27)*'Input Data'!$N$38,0)</f>
        <v>0</v>
      </c>
      <c r="Q28" s="87">
        <f>IF(((Q26-Q27)*'Input Data'!$N$38&gt;0),(Q26-Q27)*'Input Data'!$N$38,0)</f>
        <v>0</v>
      </c>
      <c r="R28" s="87">
        <f>IF(((R26-R27)*'Input Data'!$N$38&gt;0),(R26-R27)*'Input Data'!$N$38,0)</f>
        <v>0</v>
      </c>
      <c r="S28" s="87">
        <f>IF(((S26-S27)*'Input Data'!$N$38&gt;0),(S26-S27)*'Input Data'!$N$38,0)</f>
        <v>0</v>
      </c>
      <c r="T28" s="87">
        <f>IF(((T26-T27)*'Input Data'!$N$38&gt;0),(T26-T27)*'Input Data'!$N$38,0)</f>
        <v>0</v>
      </c>
      <c r="U28" s="87">
        <f>IF(((U26-U27)*'Input Data'!$N$38&gt;0),(U26-U27)*'Input Data'!$N$38,0)</f>
        <v>0</v>
      </c>
      <c r="V28" s="87">
        <f>IF(((V26-V27)*'Input Data'!$N$38&gt;0),(V26-V27)*'Input Data'!$N$38,0)</f>
        <v>0</v>
      </c>
      <c r="W28" s="87">
        <f>IF(((W26-W27)*'Input Data'!$N$38&gt;0),(W26-W27)*'Input Data'!$N$38,0)</f>
        <v>0</v>
      </c>
      <c r="X28" s="87">
        <f>IF(((X26-X27)*'Input Data'!$N$38&gt;0),(X26-X27)*'Input Data'!$N$38,0)</f>
        <v>0</v>
      </c>
      <c r="Y28" s="87">
        <f>IF(((Y26-Y27)*'Input Data'!$N$38&gt;0),(Y26-Y27)*'Input Data'!$N$38,0)</f>
        <v>0</v>
      </c>
      <c r="Z28" s="87">
        <f>IF(((Z26-Z27)*'Input Data'!$N$38&gt;0),(Z26-Z27)*'Input Data'!$N$38,0)</f>
        <v>0</v>
      </c>
      <c r="AA28" s="87">
        <f>IF(((AA26-AA27)*'Input Data'!$N$38&gt;0),(AA26-AA27)*'Input Data'!$N$38,0)</f>
        <v>0</v>
      </c>
      <c r="AB28" s="87">
        <f>IF(((AB26-AB27)*'Input Data'!$N$38&gt;0),(AB26-AB27)*'Input Data'!$N$38,0)</f>
        <v>0</v>
      </c>
      <c r="AC28" s="87">
        <f>IF('Input Data'!$N$89&gt;20,IF(((AC26-AC27)*'Input Data'!$N$38&gt;0),(AC26-AC27)*'Input Data'!$N$38,0),"")</f>
        <v>0</v>
      </c>
      <c r="AD28" s="87">
        <f>IF('Input Data'!$N$89&gt;20,IF(((AD26-AD27)*'Input Data'!$N$38&gt;0),(AD26-AD27)*'Input Data'!$N$38,0),"")</f>
        <v>0</v>
      </c>
      <c r="AE28" s="87">
        <f>IF('Input Data'!$N$89&gt;20,IF(((AE26-AE27)*'Input Data'!$N$38&gt;0),(AE26-AE27)*'Input Data'!$N$38,0),"")</f>
        <v>0</v>
      </c>
      <c r="AF28" s="87">
        <f>IF('Input Data'!$N$89&gt;20,IF(((AF26-AF27)*'Input Data'!$N$38&gt;0),(AF26-AF27)*'Input Data'!$N$38,0),"")</f>
        <v>0</v>
      </c>
      <c r="AG28" s="87">
        <f>IF('Input Data'!$N$89&gt;20,IF(((AG26-AG27)*'Input Data'!$N$38&gt;0),(AG26-AG27)*'Input Data'!$N$38,0),"")</f>
        <v>0</v>
      </c>
      <c r="AH28" s="87">
        <f>IF('Input Data'!$N$89&gt;25,IF(((AH26-AH27)*'Input Data'!$N$38&gt;0),(AH26-AH27)*'Input Data'!$N$38,0),"")</f>
        <v>0</v>
      </c>
      <c r="AI28" s="87">
        <f>IF('Input Data'!$N$89&gt;25,IF(((AI26-AI27)*'Input Data'!$N$38&gt;0),(AI26-AI27)*'Input Data'!$N$38,0),"")</f>
        <v>0</v>
      </c>
      <c r="AJ28" s="87">
        <f>IF('Input Data'!$N$89&gt;25,IF(((AJ26-AJ27)*'Input Data'!$N$38&gt;0),(AJ26-AJ27)*'Input Data'!$N$38,0),"")</f>
        <v>0</v>
      </c>
      <c r="AK28" s="87">
        <f>IF('Input Data'!$N$89&gt;25,IF(((AK26-AK27)*'Input Data'!$N$38&gt;0),(AK26-AK27)*'Input Data'!$N$38,0),"")</f>
        <v>0</v>
      </c>
      <c r="AL28" s="87">
        <f>IF('Input Data'!$N$89&gt;25,IF(((AL26-AL27)*'Input Data'!$N$38&gt;0),(AL26-AL27)*'Input Data'!$N$38,0),"")</f>
        <v>0</v>
      </c>
      <c r="AM28" s="87" t="str">
        <f>IF('Input Data'!$N$89&gt;30,IF(((AM26-AM27)*'Input Data'!$N$38&gt;0),(AM26-AM27)*'Input Data'!$N$38,0),"")</f>
        <v/>
      </c>
    </row>
    <row r="29" spans="2:39" x14ac:dyDescent="0.2">
      <c r="B29" s="1" t="s">
        <v>15</v>
      </c>
      <c r="F29" s="80">
        <f>'Input Data'!N96</f>
        <v>0.25</v>
      </c>
      <c r="G29" s="80">
        <f>'Input Data'!N97</f>
        <v>0.45</v>
      </c>
      <c r="H29" s="80">
        <f>'Input Data'!N98</f>
        <v>0.3</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2:39" x14ac:dyDescent="0.2">
      <c r="B30" s="1" t="s">
        <v>16</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2:39" x14ac:dyDescent="0.2">
      <c r="B31" s="2" t="s">
        <v>17</v>
      </c>
      <c r="F31" s="3"/>
      <c r="G31" s="3"/>
      <c r="H31" s="3"/>
      <c r="I31" s="87">
        <f>$E$6*I27*$R$5/1000</f>
        <v>252.74586089953095</v>
      </c>
      <c r="J31" s="87">
        <f t="shared" ref="J31:AB31" si="2">$E$6*J27*$R$5/1000</f>
        <v>291.6298394994588</v>
      </c>
      <c r="K31" s="87">
        <f t="shared" si="2"/>
        <v>330.51381809938664</v>
      </c>
      <c r="L31" s="87">
        <f t="shared" si="2"/>
        <v>330.51381809938664</v>
      </c>
      <c r="M31" s="87">
        <f t="shared" si="2"/>
        <v>330.51381809938664</v>
      </c>
      <c r="N31" s="87">
        <f t="shared" si="2"/>
        <v>330.51381809938664</v>
      </c>
      <c r="O31" s="87">
        <f t="shared" si="2"/>
        <v>330.51381809938664</v>
      </c>
      <c r="P31" s="87">
        <f t="shared" si="2"/>
        <v>330.51381809938664</v>
      </c>
      <c r="Q31" s="87">
        <f t="shared" si="2"/>
        <v>330.51381809938664</v>
      </c>
      <c r="R31" s="87">
        <f t="shared" si="2"/>
        <v>330.51381809938664</v>
      </c>
      <c r="S31" s="87">
        <f t="shared" si="2"/>
        <v>330.51381809938664</v>
      </c>
      <c r="T31" s="87">
        <f t="shared" si="2"/>
        <v>330.51381809938664</v>
      </c>
      <c r="U31" s="87">
        <f t="shared" si="2"/>
        <v>330.51381809938664</v>
      </c>
      <c r="V31" s="87">
        <f t="shared" si="2"/>
        <v>330.51381809938664</v>
      </c>
      <c r="W31" s="87">
        <f t="shared" si="2"/>
        <v>330.51381809938664</v>
      </c>
      <c r="X31" s="87">
        <f t="shared" si="2"/>
        <v>330.51381809938664</v>
      </c>
      <c r="Y31" s="87">
        <f t="shared" si="2"/>
        <v>330.51381809938664</v>
      </c>
      <c r="Z31" s="87">
        <f t="shared" si="2"/>
        <v>330.51381809938664</v>
      </c>
      <c r="AA31" s="87">
        <f t="shared" si="2"/>
        <v>330.51381809938664</v>
      </c>
      <c r="AB31" s="87">
        <f t="shared" si="2"/>
        <v>330.51381809938664</v>
      </c>
      <c r="AC31" s="87">
        <f>IF('Input Data'!N89&gt;20,$E$6*AC27*$R$5/1000,"")</f>
        <v>330.51381809938664</v>
      </c>
      <c r="AD31" s="87">
        <f>IF(AD19="Year 22",$E$6*AD27*$R$5/1000,"")</f>
        <v>330.51381809938664</v>
      </c>
      <c r="AE31" s="87">
        <f>IF(AE19="Year 23",$E$6*AE27*$R$5/1000,"")</f>
        <v>330.51381809938664</v>
      </c>
      <c r="AF31" s="87">
        <f>IF(AF19="Year 24",$E$6*AF27*$R$5/1000,"")</f>
        <v>330.51381809938664</v>
      </c>
      <c r="AG31" s="87">
        <f>IF(AG19="Year 25",$E$6*AG27*$R$5/1000,"")</f>
        <v>330.51381809938664</v>
      </c>
      <c r="AH31" s="87">
        <f>IF('Input Data'!N89&gt;25,$E$6*AH27*$R$5/1000,"")</f>
        <v>330.51381809938664</v>
      </c>
      <c r="AI31" s="87">
        <f>IF(AI19="Year 27",$E$6*AI27*$R$5/1000,"")</f>
        <v>330.51381809938664</v>
      </c>
      <c r="AJ31" s="87">
        <f>IF(AJ19="Year 28",$E$6*AJ27*$R$5/1000,"")</f>
        <v>330.51381809938664</v>
      </c>
      <c r="AK31" s="87">
        <f>IF(AK19="Year 29",$E$6*AK27*$R$5/1000,"")</f>
        <v>330.51381809938664</v>
      </c>
      <c r="AL31" s="87">
        <f>IF(AL19="Year 30",$E$6*AL27*$R$5/1000,"")</f>
        <v>330.51381809938664</v>
      </c>
      <c r="AM31" s="87" t="str">
        <f>IF('Input Data'!N89&gt;30,$E$6*AM27*$R$5/1000,"")</f>
        <v/>
      </c>
    </row>
    <row r="32" spans="2:39" x14ac:dyDescent="0.2">
      <c r="B32" s="2" t="s">
        <v>18</v>
      </c>
      <c r="F32" s="3"/>
      <c r="G32" s="3"/>
      <c r="H32" s="3"/>
      <c r="I32" s="87">
        <f t="shared" ref="I32:AB32" si="3">$E$7*I26*$R$6/1000000</f>
        <v>0.44413200000000003</v>
      </c>
      <c r="J32" s="87">
        <f t="shared" si="3"/>
        <v>0.51246000000000003</v>
      </c>
      <c r="K32" s="87">
        <f t="shared" si="3"/>
        <v>0.58078799999999997</v>
      </c>
      <c r="L32" s="87">
        <f t="shared" si="3"/>
        <v>0.58078799999999997</v>
      </c>
      <c r="M32" s="87">
        <f t="shared" si="3"/>
        <v>0.58078799999999997</v>
      </c>
      <c r="N32" s="87">
        <f t="shared" si="3"/>
        <v>0.58078799999999997</v>
      </c>
      <c r="O32" s="87">
        <f t="shared" si="3"/>
        <v>0.58078799999999997</v>
      </c>
      <c r="P32" s="87">
        <f t="shared" si="3"/>
        <v>0.58078799999999997</v>
      </c>
      <c r="Q32" s="87">
        <f t="shared" si="3"/>
        <v>0.58078799999999997</v>
      </c>
      <c r="R32" s="87">
        <f t="shared" si="3"/>
        <v>0.58078799999999997</v>
      </c>
      <c r="S32" s="87">
        <f t="shared" si="3"/>
        <v>0.58078799999999997</v>
      </c>
      <c r="T32" s="87">
        <f t="shared" si="3"/>
        <v>0.58078799999999997</v>
      </c>
      <c r="U32" s="87">
        <f t="shared" si="3"/>
        <v>0.58078799999999997</v>
      </c>
      <c r="V32" s="87">
        <f t="shared" si="3"/>
        <v>0.58078799999999997</v>
      </c>
      <c r="W32" s="87">
        <f t="shared" si="3"/>
        <v>0.58078799999999997</v>
      </c>
      <c r="X32" s="87">
        <f t="shared" si="3"/>
        <v>0.58078799999999997</v>
      </c>
      <c r="Y32" s="87">
        <f t="shared" si="3"/>
        <v>0.58078799999999997</v>
      </c>
      <c r="Z32" s="87">
        <f t="shared" si="3"/>
        <v>0.58078799999999997</v>
      </c>
      <c r="AA32" s="87">
        <f t="shared" si="3"/>
        <v>0.58078799999999997</v>
      </c>
      <c r="AB32" s="87">
        <f t="shared" si="3"/>
        <v>0.58078799999999997</v>
      </c>
      <c r="AC32" s="87">
        <f>IF('Input Data'!N89&gt;20,$E$7*AC26*$R$6/1000000,"")</f>
        <v>0.58078799999999997</v>
      </c>
      <c r="AD32" s="87">
        <f>IF(AD19="Year 22",$E$7*AD26*$R$6/1000000,"")</f>
        <v>0.58078799999999997</v>
      </c>
      <c r="AE32" s="87">
        <f>IF(AE19="Year 23",$E$7*AE26*$R$6/1000000,"")</f>
        <v>0.58078799999999997</v>
      </c>
      <c r="AF32" s="87">
        <f>IF(AF19="Year 24",$E$7*AF26*$R$6/1000000,"")</f>
        <v>0.58078799999999997</v>
      </c>
      <c r="AG32" s="87">
        <f>IF(AG19="Year 25",$E$7*AG26*$R$6/1000000,"")</f>
        <v>0.58078799999999997</v>
      </c>
      <c r="AH32" s="87">
        <f>IF('Input Data'!N89&gt;25,$E$7*AH26*$R$6/1000000,"")</f>
        <v>0.58078799999999997</v>
      </c>
      <c r="AI32" s="87">
        <f>IF(AI19="Year 27",$E$7*AI26*$R$6/1000000,"")</f>
        <v>0.58078799999999997</v>
      </c>
      <c r="AJ32" s="87">
        <f>IF(AJ19="Year 28",$E$7*AJ26*$R$6/1000000,"")</f>
        <v>0.58078799999999997</v>
      </c>
      <c r="AK32" s="87">
        <f>IF(AK19="Year 29",$E$7*AK26*$R$6/1000000,"")</f>
        <v>0.58078799999999997</v>
      </c>
      <c r="AL32" s="87">
        <f>IF(AL19="Year 30",$E$7*AL26*$R$6/1000000,"")</f>
        <v>0.58078799999999997</v>
      </c>
      <c r="AM32" s="87" t="str">
        <f>IF('Input Data'!N89&gt;30,$E$7*AM26*$R$6/1000000,"")</f>
        <v/>
      </c>
    </row>
    <row r="33" spans="2:39" x14ac:dyDescent="0.2">
      <c r="B33" s="2" t="s">
        <v>97</v>
      </c>
      <c r="F33" s="3"/>
      <c r="G33" s="3"/>
      <c r="H33" s="3"/>
      <c r="I33" s="87">
        <f>IF(((I26-I27)*R7*'Input Data'!N38/1000000&gt;0),(I26-I27)*R7*'Input Data'!N38/1000000,0)</f>
        <v>0</v>
      </c>
      <c r="J33" s="87">
        <f>IF(((J26-J27)*R7*'Input Data'!N38/1000000&gt;0),(J26-J27)*R7*'Input Data'!N38/1000000,0)</f>
        <v>0</v>
      </c>
      <c r="K33" s="87">
        <f>IF(((K26-K27)*R7*'Input Data'!N38/1000000&gt;0),(K26-K27)*R7*'Input Data'!N38/1000000,0)</f>
        <v>0</v>
      </c>
      <c r="L33" s="87">
        <f>IF(((L26-L27)*R7*'Input Data'!N38/1000000&gt;0),(L26-L27)*R7*'Input Data'!N38/1000000,0)</f>
        <v>0</v>
      </c>
      <c r="M33" s="87">
        <f>IF(((M26-M27)*R7*'Input Data'!N38/1000000&gt;0),(M26-M27)*R7*'Input Data'!N38/1000000,0)</f>
        <v>0</v>
      </c>
      <c r="N33" s="87">
        <f>IF(((N26-N27)*R7*'Input Data'!N38/1000000&gt;0),(N26-N27)*R7*'Input Data'!N38/1000000,0)</f>
        <v>0</v>
      </c>
      <c r="O33" s="87">
        <f>IF(((O26-O27)*R7*'Input Data'!N38/1000000&gt;0),(O26-O27)*R7*'Input Data'!N38/1000000,0)</f>
        <v>0</v>
      </c>
      <c r="P33" s="87">
        <f>IF(((P26-P27)*R7*'Input Data'!N38/1000000&gt;0),(P26-P27)*R7*'Input Data'!N38/1000000,0)</f>
        <v>0</v>
      </c>
      <c r="Q33" s="87">
        <f>IF(((Q26-Q27)*R7*'Input Data'!N38/1000000&gt;0),(Q26-Q27)*R7*'Input Data'!N38/1000000,0)</f>
        <v>0</v>
      </c>
      <c r="R33" s="87">
        <f>IF(((R26-R27)*R7*'Input Data'!N38/1000000&gt;0),(R26-R27)*R7*'Input Data'!N38/1000000,0)</f>
        <v>0</v>
      </c>
      <c r="S33" s="87">
        <f>IF(((S26-S27)*R7*'Input Data'!N38/1000000&gt;0),(S26-S27)*R7*'Input Data'!N38/1000000,0)</f>
        <v>0</v>
      </c>
      <c r="T33" s="87">
        <f>IF(((T26-T27)*R7*'Input Data'!N38/1000000&gt;0),(T26-T27)*R7*'Input Data'!N38/1000000,0)</f>
        <v>0</v>
      </c>
      <c r="U33" s="87">
        <f>IF(((U26-U27)*R7*'Input Data'!N38/1000000&gt;0),(U26-U27)*R7*'Input Data'!N38/1000000,0)</f>
        <v>0</v>
      </c>
      <c r="V33" s="87">
        <f>IF(((V26-V27)*R7*'Input Data'!N38/1000000&gt;0),(V26-V27)*R7*'Input Data'!N38/1000000,0)</f>
        <v>0</v>
      </c>
      <c r="W33" s="87">
        <f>IF(((W26-W27)*R7*'Input Data'!N38/1000000&gt;0),(W26-W27)*R7*'Input Data'!N38/1000000,0)</f>
        <v>0</v>
      </c>
      <c r="X33" s="87">
        <f>IF(((X26-X27)*R7*'Input Data'!N38/1000000&gt;0),(X26-X27)*R7*'Input Data'!N38/1000000,0)</f>
        <v>0</v>
      </c>
      <c r="Y33" s="87">
        <f>IF(((Y26-Y27)*R7*'Input Data'!N38/1000000&gt;0),(Y26-Y27)*R7*'Input Data'!N38/1000000,0)</f>
        <v>0</v>
      </c>
      <c r="Z33" s="87">
        <f>IF(((Z26-Z27)*R7*'Input Data'!N38/1000000&gt;0),(Z26-Z27)*R7*'Input Data'!N38/1000000,0)</f>
        <v>0</v>
      </c>
      <c r="AA33" s="87">
        <f>IF(((AA26-AA27)*R7*'Input Data'!N38/1000000&gt;0),(AA26-AA27)*R7*'Input Data'!N38/1000000,0)</f>
        <v>0</v>
      </c>
      <c r="AB33" s="87">
        <f>IF(AB19="Year 20",IF(((AB26-AB27)*R7*'Input Data'!N38/1000000&gt;0),(AB26-AB27)*R7*'Input Data'!N38/1000000,0),"")</f>
        <v>0</v>
      </c>
      <c r="AC33" s="87">
        <f>IF('Input Data'!N89&gt;20,IF(((AC26-AC27)*R7*'Input Data'!N38/1000000&gt;0),(AC26-AC27)*R7*'Input Data'!N38/1000000,0),"")</f>
        <v>0</v>
      </c>
      <c r="AD33" s="87">
        <f>IF(AD19="Year 22",IF(((AD26-AD27)*R7*'Input Data'!N38/1000000&gt;0),(AD26-AD27)*R7*'Input Data'!N38/1000000,0),"")</f>
        <v>0</v>
      </c>
      <c r="AE33" s="87">
        <f>IF(AE19="Year 23",IF(((AE26-AE27)*R7*'Input Data'!N38/1000000&gt;0),(AE26-AE27)*R7*'Input Data'!N38/1000000,0),"")</f>
        <v>0</v>
      </c>
      <c r="AF33" s="87">
        <f>IF(AF19="Year 24",IF(((AF26-AF27)*R7*'Input Data'!N38/1000000&gt;0),(AF26-AF27)*R7*'Input Data'!N38/1000000,0),"")</f>
        <v>0</v>
      </c>
      <c r="AG33" s="87">
        <f>IF(AG19="Year 25",IF(((AG26-AG27)*R7*'Input Data'!N38/1000000&gt;0),(AG26-AG27)*R7*'Input Data'!N38/1000000,0),"")</f>
        <v>0</v>
      </c>
      <c r="AH33" s="87">
        <f>IF('Input Data'!N89&gt;25,IF(((AH26-AH27)*R7*'Input Data'!N38/1000000&gt;0),(AH26-AH27)*R7*'Input Data'!N38/1000000,0),"")</f>
        <v>0</v>
      </c>
      <c r="AI33" s="87">
        <f>IF(AI19="Year 27",IF(((AI26-AI27)*R7*'Input Data'!N38/1000000&gt;0),(AI26-AI27)*R7*'Input Data'!N38/1000000,0),"")</f>
        <v>0</v>
      </c>
      <c r="AJ33" s="87">
        <f>IF(AJ19="Year 28",IF(((AJ26-AJ27)*R7*'Input Data'!N38/1000000&gt;0),(AJ26-AJ27)*R7*'Input Data'!N38/1000000,0),"")</f>
        <v>0</v>
      </c>
      <c r="AK33" s="87">
        <f>IF(AK19="Year 29",IF(((AK26-AK27)*R7*'Input Data'!N38/1000000&gt;0),(AK26-AK27)*R7*'Input Data'!N38/1000000,0),"")</f>
        <v>0</v>
      </c>
      <c r="AL33" s="87">
        <f>IF(AL19="Year 30",IF(((AL26-AL27)*R7*'Input Data'!N38/1000000&gt;0),(AL26-AL27)*R7*'Input Data'!N38/1000000,0),"")</f>
        <v>0</v>
      </c>
      <c r="AM33" s="101" t="str">
        <f>IF('Input Data'!N89&gt;30,IF(((AM26-AM27)*R7*'Input Data'!N38/1000000&gt;0),(AM26-AM27)*R7*'Input Data'!N38/1000000,0),"")</f>
        <v/>
      </c>
    </row>
    <row r="34" spans="2:39" x14ac:dyDescent="0.2">
      <c r="B34" s="1" t="s">
        <v>19</v>
      </c>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2:39" x14ac:dyDescent="0.2">
      <c r="B35" s="2" t="s">
        <v>157</v>
      </c>
      <c r="F35" s="3"/>
      <c r="G35" s="3"/>
      <c r="H35" s="3"/>
      <c r="I35" s="88">
        <f t="shared" ref="I35:AB35" si="4">$M$5*$E$5*I26/1000000</f>
        <v>85.418303750000007</v>
      </c>
      <c r="J35" s="88">
        <f>$M$5*$E$5*J26/1000000</f>
        <v>98.559581249999979</v>
      </c>
      <c r="K35" s="88">
        <f>$M$5*$E$5*K26/1000000</f>
        <v>111.70085874999998</v>
      </c>
      <c r="L35" s="88">
        <f t="shared" si="4"/>
        <v>111.70085874999998</v>
      </c>
      <c r="M35" s="88">
        <f t="shared" si="4"/>
        <v>111.70085874999998</v>
      </c>
      <c r="N35" s="88">
        <f t="shared" si="4"/>
        <v>111.70085874999998</v>
      </c>
      <c r="O35" s="88">
        <f t="shared" si="4"/>
        <v>111.70085874999998</v>
      </c>
      <c r="P35" s="88">
        <f t="shared" si="4"/>
        <v>111.70085874999998</v>
      </c>
      <c r="Q35" s="88">
        <f t="shared" si="4"/>
        <v>111.70085874999998</v>
      </c>
      <c r="R35" s="88">
        <f t="shared" si="4"/>
        <v>111.70085874999998</v>
      </c>
      <c r="S35" s="88">
        <f t="shared" si="4"/>
        <v>111.70085874999998</v>
      </c>
      <c r="T35" s="88">
        <f t="shared" si="4"/>
        <v>111.70085874999998</v>
      </c>
      <c r="U35" s="88">
        <f t="shared" si="4"/>
        <v>111.70085874999998</v>
      </c>
      <c r="V35" s="88">
        <f t="shared" si="4"/>
        <v>111.70085874999998</v>
      </c>
      <c r="W35" s="88">
        <f t="shared" si="4"/>
        <v>111.70085874999998</v>
      </c>
      <c r="X35" s="88">
        <f t="shared" si="4"/>
        <v>111.70085874999998</v>
      </c>
      <c r="Y35" s="88">
        <f t="shared" si="4"/>
        <v>111.70085874999998</v>
      </c>
      <c r="Z35" s="88">
        <f t="shared" si="4"/>
        <v>111.70085874999998</v>
      </c>
      <c r="AA35" s="88">
        <f t="shared" si="4"/>
        <v>111.70085874999998</v>
      </c>
      <c r="AB35" s="88">
        <f t="shared" si="4"/>
        <v>111.70085874999998</v>
      </c>
      <c r="AC35" s="88">
        <f>IF('Input Data'!N89&gt;20,$M$5*$E$5*AC26/1000000,"")</f>
        <v>111.70085874999998</v>
      </c>
      <c r="AD35" s="88">
        <f>IF(AD19="Year 22",$M$5*$E$5*AD26/1000000,"")</f>
        <v>111.70085874999998</v>
      </c>
      <c r="AE35" s="88">
        <f>IF(AE19="Year 23",$M$5*$E$5*AE26/1000000,"")</f>
        <v>111.70085874999998</v>
      </c>
      <c r="AF35" s="88">
        <f>IF(AF19="Year 24",$M$5*$E$5*AF26/1000000,"")</f>
        <v>111.70085874999998</v>
      </c>
      <c r="AG35" s="88">
        <f>IF(AG19="Year 25",$M$5*$E$5*AG26/1000000,"")</f>
        <v>111.70085874999998</v>
      </c>
      <c r="AH35" s="88">
        <f>IF('Input Data'!N89&gt;25,$M$5*$E$5*AH26/1000000,"")</f>
        <v>111.70085874999998</v>
      </c>
      <c r="AI35" s="88">
        <f>IF(AI19="Year 27",$M$5*$E$5*AI26/1000000,"")</f>
        <v>111.70085874999998</v>
      </c>
      <c r="AJ35" s="88">
        <f>IF(AJ19="Year 28",$M$5*$E$5*AJ26/1000000,"")</f>
        <v>111.70085874999998</v>
      </c>
      <c r="AK35" s="88">
        <f>IF(AK19="Year 29",$M$5*$E$5*AK26/1000000,"")</f>
        <v>111.70085874999998</v>
      </c>
      <c r="AL35" s="88">
        <f>IF(AL19="Year 30",$M$5*$E$5*AL26/1000000,"")</f>
        <v>111.70085874999998</v>
      </c>
      <c r="AM35" s="88" t="str">
        <f>IF('Input Data'!N89&gt;30,$M$5*$E$5*AM26/1000000,"")</f>
        <v/>
      </c>
    </row>
    <row r="36" spans="2:39" x14ac:dyDescent="0.2">
      <c r="B36" s="2" t="s">
        <v>20</v>
      </c>
      <c r="F36" s="3"/>
      <c r="G36" s="3"/>
      <c r="H36" s="3"/>
      <c r="I36" s="88">
        <f t="shared" ref="I36:AB36" si="5">$M$6</f>
        <v>34.22</v>
      </c>
      <c r="J36" s="88">
        <f t="shared" si="5"/>
        <v>34.22</v>
      </c>
      <c r="K36" s="88">
        <f t="shared" si="5"/>
        <v>34.22</v>
      </c>
      <c r="L36" s="88">
        <f t="shared" si="5"/>
        <v>34.22</v>
      </c>
      <c r="M36" s="88">
        <f t="shared" si="5"/>
        <v>34.22</v>
      </c>
      <c r="N36" s="88">
        <f t="shared" si="5"/>
        <v>34.22</v>
      </c>
      <c r="O36" s="88">
        <f t="shared" si="5"/>
        <v>34.22</v>
      </c>
      <c r="P36" s="88">
        <f t="shared" si="5"/>
        <v>34.22</v>
      </c>
      <c r="Q36" s="88">
        <f t="shared" si="5"/>
        <v>34.22</v>
      </c>
      <c r="R36" s="88">
        <f t="shared" si="5"/>
        <v>34.22</v>
      </c>
      <c r="S36" s="88">
        <f t="shared" si="5"/>
        <v>34.22</v>
      </c>
      <c r="T36" s="88">
        <f t="shared" si="5"/>
        <v>34.22</v>
      </c>
      <c r="U36" s="88">
        <f t="shared" si="5"/>
        <v>34.22</v>
      </c>
      <c r="V36" s="88">
        <f t="shared" si="5"/>
        <v>34.22</v>
      </c>
      <c r="W36" s="88">
        <f t="shared" si="5"/>
        <v>34.22</v>
      </c>
      <c r="X36" s="88">
        <f t="shared" si="5"/>
        <v>34.22</v>
      </c>
      <c r="Y36" s="88">
        <f t="shared" si="5"/>
        <v>34.22</v>
      </c>
      <c r="Z36" s="88">
        <f t="shared" si="5"/>
        <v>34.22</v>
      </c>
      <c r="AA36" s="88">
        <f t="shared" si="5"/>
        <v>34.22</v>
      </c>
      <c r="AB36" s="88">
        <f t="shared" si="5"/>
        <v>34.22</v>
      </c>
      <c r="AC36" s="88">
        <f>IF('Input Data'!N89&gt;20,$M$6,"")</f>
        <v>34.22</v>
      </c>
      <c r="AD36" s="88">
        <f>IF(AD19="Year 22",$M$6,"")</f>
        <v>34.22</v>
      </c>
      <c r="AE36" s="88">
        <f>IF(AE19="Year 23",$M$6,"")</f>
        <v>34.22</v>
      </c>
      <c r="AF36" s="88">
        <f>IF(AF19="Year 24",$M$6,"")</f>
        <v>34.22</v>
      </c>
      <c r="AG36" s="88">
        <f>IF(AG19="Year 25",$M$6,"")</f>
        <v>34.22</v>
      </c>
      <c r="AH36" s="88">
        <f>IF('Input Data'!N89&gt;25,$M$6,"")</f>
        <v>34.22</v>
      </c>
      <c r="AI36" s="88">
        <f>IF(AI19="Year 27",$M$6,"")</f>
        <v>34.22</v>
      </c>
      <c r="AJ36" s="88">
        <f>IF(AJ19="Year 28",$M$6,"")</f>
        <v>34.22</v>
      </c>
      <c r="AK36" s="88">
        <f>IF(AK19="Year 29",$M$6,"")</f>
        <v>34.22</v>
      </c>
      <c r="AL36" s="88">
        <f>IF(AL19="Year 30",$M$6,"")</f>
        <v>34.22</v>
      </c>
      <c r="AM36" s="88" t="str">
        <f>IF('Input Data'!N89&gt;30,$M$6,"")</f>
        <v/>
      </c>
    </row>
    <row r="37" spans="2:39" x14ac:dyDescent="0.2">
      <c r="B37" s="2" t="s">
        <v>21</v>
      </c>
      <c r="F37" s="3"/>
      <c r="G37" s="3"/>
      <c r="H37" s="3"/>
      <c r="I37" s="88">
        <f t="shared" ref="I37:AB37" si="6">$N$12</f>
        <v>7.4750000000000005</v>
      </c>
      <c r="J37" s="88">
        <f t="shared" si="6"/>
        <v>7.4750000000000005</v>
      </c>
      <c r="K37" s="88">
        <f t="shared" si="6"/>
        <v>7.4750000000000005</v>
      </c>
      <c r="L37" s="88">
        <f t="shared" si="6"/>
        <v>7.4750000000000005</v>
      </c>
      <c r="M37" s="88">
        <f t="shared" si="6"/>
        <v>7.4750000000000005</v>
      </c>
      <c r="N37" s="88">
        <f t="shared" si="6"/>
        <v>7.4750000000000005</v>
      </c>
      <c r="O37" s="88">
        <f t="shared" si="6"/>
        <v>7.4750000000000005</v>
      </c>
      <c r="P37" s="88">
        <f t="shared" si="6"/>
        <v>7.4750000000000005</v>
      </c>
      <c r="Q37" s="88">
        <f t="shared" si="6"/>
        <v>7.4750000000000005</v>
      </c>
      <c r="R37" s="88">
        <f t="shared" si="6"/>
        <v>7.4750000000000005</v>
      </c>
      <c r="S37" s="88">
        <f t="shared" si="6"/>
        <v>7.4750000000000005</v>
      </c>
      <c r="T37" s="88">
        <f t="shared" si="6"/>
        <v>7.4750000000000005</v>
      </c>
      <c r="U37" s="88">
        <f t="shared" si="6"/>
        <v>7.4750000000000005</v>
      </c>
      <c r="V37" s="88">
        <f t="shared" si="6"/>
        <v>7.4750000000000005</v>
      </c>
      <c r="W37" s="88">
        <f t="shared" si="6"/>
        <v>7.4750000000000005</v>
      </c>
      <c r="X37" s="88">
        <f t="shared" si="6"/>
        <v>7.4750000000000005</v>
      </c>
      <c r="Y37" s="88">
        <f t="shared" si="6"/>
        <v>7.4750000000000005</v>
      </c>
      <c r="Z37" s="88">
        <f t="shared" si="6"/>
        <v>7.4750000000000005</v>
      </c>
      <c r="AA37" s="88">
        <f t="shared" si="6"/>
        <v>7.4750000000000005</v>
      </c>
      <c r="AB37" s="88">
        <f t="shared" si="6"/>
        <v>7.4750000000000005</v>
      </c>
      <c r="AC37" s="88">
        <f>IF('Input Data'!N89&gt;20,$N$12,"")</f>
        <v>7.4750000000000005</v>
      </c>
      <c r="AD37" s="88">
        <f>IF(AD19="Year 22",$N$12,"")</f>
        <v>7.4750000000000005</v>
      </c>
      <c r="AE37" s="88">
        <f>IF(AE19="Year 23",$N$12,"")</f>
        <v>7.4750000000000005</v>
      </c>
      <c r="AF37" s="88">
        <f>IF(AF19="Year 24",$N$12,"")</f>
        <v>7.4750000000000005</v>
      </c>
      <c r="AG37" s="88">
        <f>IF(AG19="Year 25",$N$12,"")</f>
        <v>7.4750000000000005</v>
      </c>
      <c r="AH37" s="88">
        <f>IF('Input Data'!N89&gt;25,$N$12,"")</f>
        <v>7.4750000000000005</v>
      </c>
      <c r="AI37" s="88">
        <f>IF(AI19="Year 27",$N$12,"")</f>
        <v>7.4750000000000005</v>
      </c>
      <c r="AJ37" s="88">
        <f>IF(AJ19="Year 28",$N$12,"")</f>
        <v>7.4750000000000005</v>
      </c>
      <c r="AK37" s="88">
        <f>IF(AK19="Year 29",$N$12,"")</f>
        <v>7.4750000000000005</v>
      </c>
      <c r="AL37" s="88">
        <f>IF(AL19="Year 30",$N$12,"")</f>
        <v>7.4750000000000005</v>
      </c>
      <c r="AM37" s="88" t="str">
        <f>IF('Input Data'!N89&gt;30,$N$12,"")</f>
        <v/>
      </c>
    </row>
    <row r="38" spans="2:39" x14ac:dyDescent="0.2">
      <c r="B38" s="2" t="s">
        <v>22</v>
      </c>
      <c r="F38" s="3"/>
      <c r="G38" s="3"/>
      <c r="H38" s="3"/>
      <c r="I38" s="88">
        <f>I22*'Input Data'!$N$74*I24/0.85</f>
        <v>1.8964705882352944</v>
      </c>
      <c r="J38" s="88">
        <f>J22*'Input Data'!$N$74*J24/0.85</f>
        <v>2.1882352941176468</v>
      </c>
      <c r="K38" s="88">
        <f>K22*'Input Data'!$N$74*K24/0.85</f>
        <v>2.48</v>
      </c>
      <c r="L38" s="88">
        <f>L22*'Input Data'!$N$74*L24/0.85</f>
        <v>2.48</v>
      </c>
      <c r="M38" s="88">
        <f>M22*'Input Data'!$N$74*M24/0.85</f>
        <v>2.48</v>
      </c>
      <c r="N38" s="88">
        <f>N22*'Input Data'!$N$74*N24/0.85</f>
        <v>2.48</v>
      </c>
      <c r="O38" s="88">
        <f>O22*'Input Data'!$N$74*O24/0.85</f>
        <v>2.48</v>
      </c>
      <c r="P38" s="88">
        <f>P22*'Input Data'!$N$74*P24/0.85</f>
        <v>2.48</v>
      </c>
      <c r="Q38" s="88">
        <f>Q22*'Input Data'!$N$74*Q24/0.85</f>
        <v>2.48</v>
      </c>
      <c r="R38" s="88">
        <f>R22*'Input Data'!$N$74*R24/0.85</f>
        <v>2.48</v>
      </c>
      <c r="S38" s="88">
        <f>S22*'Input Data'!$N$74*S24/0.85</f>
        <v>2.48</v>
      </c>
      <c r="T38" s="88">
        <f>T22*'Input Data'!$N$74*T24/0.85</f>
        <v>2.48</v>
      </c>
      <c r="U38" s="88">
        <f>U22*'Input Data'!$N$74*U24/0.85</f>
        <v>2.48</v>
      </c>
      <c r="V38" s="88">
        <f>V22*'Input Data'!$N$74*V24/0.85</f>
        <v>2.48</v>
      </c>
      <c r="W38" s="88">
        <f>W22*'Input Data'!$N$74*W24/0.85</f>
        <v>2.48</v>
      </c>
      <c r="X38" s="88">
        <f>X22*'Input Data'!$N$74*X24/0.85</f>
        <v>2.48</v>
      </c>
      <c r="Y38" s="88">
        <f>Y22*'Input Data'!$N$74*Y24/0.85</f>
        <v>2.48</v>
      </c>
      <c r="Z38" s="88">
        <f>Z22*'Input Data'!$N$74*Z24/0.85</f>
        <v>2.48</v>
      </c>
      <c r="AA38" s="88">
        <f>AA22*'Input Data'!$N$74*AA24/0.85</f>
        <v>2.48</v>
      </c>
      <c r="AB38" s="88">
        <f>IF(AB19="Year 20",AB22*AB24*'Input Data'!$N$74/0.85,"")</f>
        <v>2.48</v>
      </c>
      <c r="AC38" s="88">
        <f>IF('Input Data'!N89&gt;20,AC22*AC24*'Input Data'!$N$74/0.85,"")</f>
        <v>2.48</v>
      </c>
      <c r="AD38" s="88">
        <f>IF(AD19="Year 22",AD22*AD24*'Input Data'!$N$74/0.85,"")</f>
        <v>2.48</v>
      </c>
      <c r="AE38" s="88">
        <f>IF(AE19="Year 23",AE24*AE22*'Input Data'!$N$74/0.85,"")</f>
        <v>2.48</v>
      </c>
      <c r="AF38" s="88">
        <f>IF(AF19="Year 24",AF22*AF24*'Input Data'!$N$74/0.85,"")</f>
        <v>2.48</v>
      </c>
      <c r="AG38" s="88">
        <f>IF(AG19="Year 25",AG22*AG24*'Input Data'!$N$74/0.85,"")</f>
        <v>2.48</v>
      </c>
      <c r="AH38" s="88">
        <f>IF('Input Data'!N89&gt;25,AH22*AH24*'Input Data'!$N$74/0.85,"")</f>
        <v>2.48</v>
      </c>
      <c r="AI38" s="88">
        <f>IF(AI19="Year 27",AI24*AI22*'Input Data'!$N$74/0.85,"")</f>
        <v>2.48</v>
      </c>
      <c r="AJ38" s="88">
        <f>IF(AJ19="Year 28",AJ24*AJ22*'Input Data'!$N$74/0.85,"")</f>
        <v>2.48</v>
      </c>
      <c r="AK38" s="88">
        <f>IF(AK19="Year 29",AK22*AK24*'Input Data'!$N$74/0.85,"")</f>
        <v>2.48</v>
      </c>
      <c r="AL38" s="88">
        <f>IF(AL19="Year 30",AL22*AL24*'Input Data'!$N$74/0.85,"")</f>
        <v>2.48</v>
      </c>
      <c r="AM38" s="88" t="str">
        <f>IF('Input Data'!N89&gt;30,AM22*AM24*'Input Data'!$N$74/0.85,"")</f>
        <v/>
      </c>
    </row>
    <row r="39" spans="2:39" x14ac:dyDescent="0.2">
      <c r="B39" s="2" t="s">
        <v>23</v>
      </c>
      <c r="F39" s="3"/>
      <c r="G39" s="3"/>
      <c r="H39" s="3"/>
      <c r="I39" s="88">
        <f>I26*'Input Data'!$N$40*'Input Data'!$N$73/1000000</f>
        <v>1.2162383999999999</v>
      </c>
      <c r="J39" s="88">
        <f>J26*'Input Data'!$N$40*'Input Data'!$N$73/1000000</f>
        <v>1.4033519999999999</v>
      </c>
      <c r="K39" s="88">
        <f>K26*'Input Data'!$N$40*'Input Data'!$N$73/1000000</f>
        <v>1.5904656000000001</v>
      </c>
      <c r="L39" s="88">
        <f>L26*'Input Data'!$N$40*'Input Data'!$N$73/1000000</f>
        <v>1.5904656000000001</v>
      </c>
      <c r="M39" s="88">
        <f>M26*'Input Data'!$N$40*'Input Data'!$N$73/1000000</f>
        <v>1.5904656000000001</v>
      </c>
      <c r="N39" s="88">
        <f>N26*'Input Data'!$N$40*'Input Data'!$N$73/1000000</f>
        <v>1.5904656000000001</v>
      </c>
      <c r="O39" s="88">
        <f>O26*'Input Data'!$N$40*'Input Data'!$N$73/1000000</f>
        <v>1.5904656000000001</v>
      </c>
      <c r="P39" s="88">
        <f>P26*'Input Data'!$N$40*'Input Data'!$N$73/1000000</f>
        <v>1.5904656000000001</v>
      </c>
      <c r="Q39" s="88">
        <f>Q26*'Input Data'!$N$40*'Input Data'!$N$73/1000000</f>
        <v>1.5904656000000001</v>
      </c>
      <c r="R39" s="88">
        <f>R26*'Input Data'!$N$40*'Input Data'!$N$73/1000000</f>
        <v>1.5904656000000001</v>
      </c>
      <c r="S39" s="88">
        <f>S26*'Input Data'!$N$40*'Input Data'!$N$73/1000000</f>
        <v>1.5904656000000001</v>
      </c>
      <c r="T39" s="88">
        <f>T26*'Input Data'!$N$40*'Input Data'!$N$73/1000000</f>
        <v>1.5904656000000001</v>
      </c>
      <c r="U39" s="88">
        <f>U26*'Input Data'!$N$40*'Input Data'!$N$73/1000000</f>
        <v>1.5904656000000001</v>
      </c>
      <c r="V39" s="88">
        <f>V26*'Input Data'!$N$40*'Input Data'!$N$73/1000000</f>
        <v>1.5904656000000001</v>
      </c>
      <c r="W39" s="88">
        <f>W26*'Input Data'!$N$40*'Input Data'!$N$73/1000000</f>
        <v>1.5904656000000001</v>
      </c>
      <c r="X39" s="88">
        <f>X26*'Input Data'!$N$40*'Input Data'!$N$73/1000000</f>
        <v>1.5904656000000001</v>
      </c>
      <c r="Y39" s="88">
        <f>Y26*'Input Data'!$N$40*'Input Data'!$N$73/1000000</f>
        <v>1.5904656000000001</v>
      </c>
      <c r="Z39" s="88">
        <f>Z26*'Input Data'!$N$40*'Input Data'!$N$73/1000000</f>
        <v>1.5904656000000001</v>
      </c>
      <c r="AA39" s="88">
        <f>AA26*'Input Data'!$N$40*'Input Data'!$N$73/1000000</f>
        <v>1.5904656000000001</v>
      </c>
      <c r="AB39" s="88">
        <f>IF(AB19="Year 20",AB26*'Input Data'!$N$40*'Input Data'!$N$73/1000000,"")</f>
        <v>1.5904656000000001</v>
      </c>
      <c r="AC39" s="88">
        <f>IF('Input Data'!N89&gt;20,AC26*'Input Data'!$N$40*'Input Data'!$N$73/1000000,"")</f>
        <v>1.5904656000000001</v>
      </c>
      <c r="AD39" s="88">
        <f>IF(AD19="Year 22",AD26*'Input Data'!$N$40*'Input Data'!$N$73/1000000,"")</f>
        <v>1.5904656000000001</v>
      </c>
      <c r="AE39" s="88">
        <f>IF(AE19="Year 23",AE26*'Input Data'!$N$40*'Input Data'!$N$73/1000000,"")</f>
        <v>1.5904656000000001</v>
      </c>
      <c r="AF39" s="88">
        <f>IF(AF19="Year 24",AF26*'Input Data'!$N$40*'Input Data'!$N$73/1000000,"")</f>
        <v>1.5904656000000001</v>
      </c>
      <c r="AG39" s="88">
        <f>IF(AG19="Year 25",AG26*'Input Data'!$N$40*'Input Data'!$N$73/1000000,"")</f>
        <v>1.5904656000000001</v>
      </c>
      <c r="AH39" s="88">
        <f>IF('Input Data'!N89&gt;25,AH26*'Input Data'!$N$40*'Input Data'!$N$73/1000000,"")</f>
        <v>1.5904656000000001</v>
      </c>
      <c r="AI39" s="88">
        <f>IF(AI19="Year 27",AI26*'Input Data'!$N$40*'Input Data'!$N$73/1000000,"")</f>
        <v>1.5904656000000001</v>
      </c>
      <c r="AJ39" s="88">
        <f>IF(AJ19="Year 28",AJ26*'Input Data'!$N$40*'Input Data'!$N$73/1000000,"")</f>
        <v>1.5904656000000001</v>
      </c>
      <c r="AK39" s="88">
        <f>IF(AK19="Year 29",AK26*'Input Data'!$N$40*'Input Data'!$N$73/1000000,"")</f>
        <v>1.5904656000000001</v>
      </c>
      <c r="AL39" s="88">
        <f>IF(AL19="Year 30",AL26*'Input Data'!$N$40*'Input Data'!$N$73/1000000,"")</f>
        <v>1.5904656000000001</v>
      </c>
      <c r="AM39" s="88" t="str">
        <f>IF('Input Data'!N89&gt;30,AM26*'Input Data'!$N$40*'Input Data'!$N$73/1000000,"")</f>
        <v/>
      </c>
    </row>
    <row r="40" spans="2:39" x14ac:dyDescent="0.2">
      <c r="B40" s="2" t="s">
        <v>124</v>
      </c>
      <c r="F40" s="3"/>
      <c r="G40" s="3"/>
      <c r="H40" s="3"/>
      <c r="I40" s="88">
        <f>I5*R10</f>
        <v>18.200000000000003</v>
      </c>
      <c r="J40" s="88">
        <f>I5*R10</f>
        <v>18.200000000000003</v>
      </c>
      <c r="K40" s="88">
        <f>I5*R10</f>
        <v>18.200000000000003</v>
      </c>
      <c r="L40" s="88">
        <f>I5*R10</f>
        <v>18.200000000000003</v>
      </c>
      <c r="M40" s="88">
        <f>I5*R10</f>
        <v>18.200000000000003</v>
      </c>
      <c r="N40" s="88">
        <f>I5*R10</f>
        <v>18.200000000000003</v>
      </c>
      <c r="O40" s="88">
        <f>I5*R10</f>
        <v>18.200000000000003</v>
      </c>
      <c r="P40" s="88">
        <f>I5*R10</f>
        <v>18.200000000000003</v>
      </c>
      <c r="Q40" s="88">
        <f>I5*R10</f>
        <v>18.200000000000003</v>
      </c>
      <c r="R40" s="88">
        <f>I5*R10</f>
        <v>18.200000000000003</v>
      </c>
      <c r="S40" s="88">
        <f>I5*R10</f>
        <v>18.200000000000003</v>
      </c>
      <c r="T40" s="88">
        <f>I5*R10</f>
        <v>18.200000000000003</v>
      </c>
      <c r="U40" s="88">
        <f>I5*R10</f>
        <v>18.200000000000003</v>
      </c>
      <c r="V40" s="88">
        <f>I5*R10</f>
        <v>18.200000000000003</v>
      </c>
      <c r="W40" s="88">
        <f>I5*R10</f>
        <v>18.200000000000003</v>
      </c>
      <c r="X40" s="88">
        <f>I5*R10</f>
        <v>18.200000000000003</v>
      </c>
      <c r="Y40" s="88">
        <f>I5*R10</f>
        <v>18.200000000000003</v>
      </c>
      <c r="Z40" s="88">
        <f>I5*R10</f>
        <v>18.200000000000003</v>
      </c>
      <c r="AA40" s="88">
        <f>I5*R10</f>
        <v>18.200000000000003</v>
      </c>
      <c r="AB40" s="88">
        <f>I5*R10</f>
        <v>18.200000000000003</v>
      </c>
      <c r="AC40" s="88">
        <f>IF('Input Data'!N89&gt;20,I5*R10,"")</f>
        <v>18.200000000000003</v>
      </c>
      <c r="AD40" s="88">
        <f>IF(AD19="Year 22",I5*R10,"")</f>
        <v>18.200000000000003</v>
      </c>
      <c r="AE40" s="88">
        <f>IF(AE19="Year 23",I5*R10,"")</f>
        <v>18.200000000000003</v>
      </c>
      <c r="AF40" s="88">
        <f>IF(AF19="Year 24",I5*R10,"")</f>
        <v>18.200000000000003</v>
      </c>
      <c r="AG40" s="88">
        <f>IF(AG19="Year 25",I5*R10,"")</f>
        <v>18.200000000000003</v>
      </c>
      <c r="AH40" s="88">
        <f>IF('Input Data'!N89&gt;25,I5*R10,"")</f>
        <v>18.200000000000003</v>
      </c>
      <c r="AI40" s="88">
        <f>IF(AI19="Year 27",I5*R10,"")</f>
        <v>18.200000000000003</v>
      </c>
      <c r="AJ40" s="88">
        <f>IF(AJ19="Year 28",I5*R10,"")</f>
        <v>18.200000000000003</v>
      </c>
      <c r="AK40" s="88">
        <f>IF(AK19="Year 29",I5*R10,"")</f>
        <v>18.200000000000003</v>
      </c>
      <c r="AL40" s="88">
        <f>IF(AL19="Year 30",I5*R10,"")</f>
        <v>18.200000000000003</v>
      </c>
      <c r="AM40" s="88" t="str">
        <f>IF('Input Data'!N89&gt;30,I5*R10,"")</f>
        <v/>
      </c>
    </row>
    <row r="41" spans="2:39" ht="15.75" x14ac:dyDescent="0.3">
      <c r="B41" s="2" t="s">
        <v>197</v>
      </c>
      <c r="F41" s="3"/>
      <c r="G41" s="3"/>
      <c r="H41" s="3"/>
      <c r="I41" s="88">
        <f>'Input Data'!$N$33*'Input Data'!$N$77*I26/1000000</f>
        <v>0</v>
      </c>
      <c r="J41" s="88">
        <f>'Input Data'!$N$33*'Input Data'!$N$77*J26/1000000</f>
        <v>0</v>
      </c>
      <c r="K41" s="88">
        <f>'Input Data'!$N$33*'Input Data'!$N$77*K26/1000000</f>
        <v>0</v>
      </c>
      <c r="L41" s="88">
        <f>'Input Data'!$N$33*'Input Data'!$N$77*L26/1000000</f>
        <v>0</v>
      </c>
      <c r="M41" s="88">
        <f>'Input Data'!$N$33*'Input Data'!$N$77*M26/1000000</f>
        <v>0</v>
      </c>
      <c r="N41" s="88">
        <f>'Input Data'!$N$33*'Input Data'!$N$77*N26/1000000</f>
        <v>0</v>
      </c>
      <c r="O41" s="88">
        <f>'Input Data'!$N$33*'Input Data'!$N$77*O26/1000000</f>
        <v>0</v>
      </c>
      <c r="P41" s="88">
        <f>'Input Data'!$N$33*'Input Data'!$N$77*P26/1000000</f>
        <v>0</v>
      </c>
      <c r="Q41" s="88">
        <f>'Input Data'!$N$33*'Input Data'!$N$77*Q26/1000000</f>
        <v>0</v>
      </c>
      <c r="R41" s="88">
        <f>'Input Data'!$N$33*'Input Data'!$N$77*R26/1000000</f>
        <v>0</v>
      </c>
      <c r="S41" s="88">
        <f>'Input Data'!$N$33*'Input Data'!$N$77*S26/1000000</f>
        <v>0</v>
      </c>
      <c r="T41" s="88">
        <f>'Input Data'!$N$33*'Input Data'!$N$77*T26/1000000</f>
        <v>0</v>
      </c>
      <c r="U41" s="88">
        <f>'Input Data'!$N$33*'Input Data'!$N$77*U26/1000000</f>
        <v>0</v>
      </c>
      <c r="V41" s="88">
        <f>'Input Data'!$N$33*'Input Data'!$N$77*V26/1000000</f>
        <v>0</v>
      </c>
      <c r="W41" s="88">
        <f>'Input Data'!$N$33*'Input Data'!$N$77*W26/1000000</f>
        <v>0</v>
      </c>
      <c r="X41" s="88">
        <f>'Input Data'!$N$33*'Input Data'!$N$77*X26/1000000</f>
        <v>0</v>
      </c>
      <c r="Y41" s="88">
        <f>'Input Data'!$N$33*'Input Data'!$N$77*Y26/1000000</f>
        <v>0</v>
      </c>
      <c r="Z41" s="88">
        <f>'Input Data'!$N$33*'Input Data'!$N$77*Z26/1000000</f>
        <v>0</v>
      </c>
      <c r="AA41" s="88">
        <f>'Input Data'!$N$33*'Input Data'!$N$77*AA26/1000000</f>
        <v>0</v>
      </c>
      <c r="AB41" s="88">
        <f>'Input Data'!$N$33*'Input Data'!$N$77*AB26/1000000</f>
        <v>0</v>
      </c>
      <c r="AC41" s="88">
        <f>IF('Input Data'!N89&gt;20,'Input Data'!$N$33*'Input Data'!$N$77*AC26/1000000,"")</f>
        <v>0</v>
      </c>
      <c r="AD41" s="88">
        <f>IF(AD19="Year 22",'Input Data'!$N$33*'Input Data'!$N$77*AD26/1000000,"")</f>
        <v>0</v>
      </c>
      <c r="AE41" s="88">
        <f>IF(AE19="Year 23",'Input Data'!$N$33*'Input Data'!$N$77*AE26/1000000,"")</f>
        <v>0</v>
      </c>
      <c r="AF41" s="88">
        <f>IF(AF19="Year 24",'Input Data'!$N$33*'Input Data'!$N$77*AF26/1000000,"")</f>
        <v>0</v>
      </c>
      <c r="AG41" s="88">
        <f>IF(AG19="Year 25",'Input Data'!$N$33*'Input Data'!$N$77*AG26/1000000,"")</f>
        <v>0</v>
      </c>
      <c r="AH41" s="88">
        <f>IF('Input Data'!N89&gt;25,'Input Data'!$N$33*'Input Data'!$N$77*AH26/1000000,"")</f>
        <v>0</v>
      </c>
      <c r="AI41" s="88">
        <f>IF(AI19="Year 27",'Input Data'!$N$33*'Input Data'!$N$77*AI26/1000000,"")</f>
        <v>0</v>
      </c>
      <c r="AJ41" s="88">
        <f>IF(AJ19="Year 28",'Input Data'!$N$33*'Input Data'!$N$77*AJ26/1000000,"")</f>
        <v>0</v>
      </c>
      <c r="AK41" s="88">
        <f>IF(AK19="Year 29",'Input Data'!$N$33*'Input Data'!$N$77*AK26/1000000,"")</f>
        <v>0</v>
      </c>
      <c r="AL41" s="88">
        <f>IF(AL19="Year 30",'Input Data'!$N$33*'Input Data'!$N$77*AL26/1000000,"")</f>
        <v>0</v>
      </c>
      <c r="AM41" s="88" t="str">
        <f>IF('Input Data'!N89&gt;30,'Input Data'!$N$33*'Input Data'!$N$77*AM26/1000000,"")</f>
        <v/>
      </c>
    </row>
    <row r="42" spans="2:39" x14ac:dyDescent="0.2">
      <c r="B42" s="1" t="s">
        <v>132</v>
      </c>
      <c r="F42" s="88">
        <f>I10*F29</f>
        <v>318.50000000000006</v>
      </c>
      <c r="G42" s="88">
        <f>I10*G29</f>
        <v>573.30000000000007</v>
      </c>
      <c r="H42" s="88">
        <f>H29*I10</f>
        <v>382.20000000000005</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2:39" ht="13.5" thickBot="1" x14ac:dyDescent="0.25">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2:39" ht="13.5" thickBot="1" x14ac:dyDescent="0.25">
      <c r="B44" s="90" t="s">
        <v>129</v>
      </c>
      <c r="C44" s="91"/>
      <c r="D44" s="91"/>
      <c r="E44" s="91"/>
      <c r="F44" s="92">
        <f t="shared" ref="F44:AB44" si="7">SUM(F31:F33)-SUM(F35:F41)-F42</f>
        <v>-318.50000000000006</v>
      </c>
      <c r="G44" s="92">
        <f t="shared" si="7"/>
        <v>-573.30000000000007</v>
      </c>
      <c r="H44" s="92">
        <f t="shared" si="7"/>
        <v>-382.20000000000005</v>
      </c>
      <c r="I44" s="92">
        <f t="shared" si="7"/>
        <v>104.76398016129562</v>
      </c>
      <c r="J44" s="92">
        <f t="shared" si="7"/>
        <v>130.09613095534115</v>
      </c>
      <c r="K44" s="92">
        <f t="shared" si="7"/>
        <v>155.42828174938666</v>
      </c>
      <c r="L44" s="92">
        <f t="shared" si="7"/>
        <v>155.42828174938666</v>
      </c>
      <c r="M44" s="92">
        <f t="shared" si="7"/>
        <v>155.42828174938666</v>
      </c>
      <c r="N44" s="92">
        <f t="shared" si="7"/>
        <v>155.42828174938666</v>
      </c>
      <c r="O44" s="92">
        <f t="shared" si="7"/>
        <v>155.42828174938666</v>
      </c>
      <c r="P44" s="92">
        <f t="shared" si="7"/>
        <v>155.42828174938666</v>
      </c>
      <c r="Q44" s="92">
        <f t="shared" si="7"/>
        <v>155.42828174938666</v>
      </c>
      <c r="R44" s="92">
        <f t="shared" si="7"/>
        <v>155.42828174938666</v>
      </c>
      <c r="S44" s="92">
        <f t="shared" si="7"/>
        <v>155.42828174938666</v>
      </c>
      <c r="T44" s="92">
        <f t="shared" si="7"/>
        <v>155.42828174938666</v>
      </c>
      <c r="U44" s="92">
        <f t="shared" si="7"/>
        <v>155.42828174938666</v>
      </c>
      <c r="V44" s="92">
        <f t="shared" si="7"/>
        <v>155.42828174938666</v>
      </c>
      <c r="W44" s="92">
        <f t="shared" si="7"/>
        <v>155.42828174938666</v>
      </c>
      <c r="X44" s="92">
        <f t="shared" si="7"/>
        <v>155.42828174938666</v>
      </c>
      <c r="Y44" s="92">
        <f t="shared" si="7"/>
        <v>155.42828174938666</v>
      </c>
      <c r="Z44" s="92">
        <f t="shared" si="7"/>
        <v>155.42828174938666</v>
      </c>
      <c r="AA44" s="92">
        <f t="shared" si="7"/>
        <v>155.42828174938666</v>
      </c>
      <c r="AB44" s="92">
        <f t="shared" si="7"/>
        <v>155.42828174938666</v>
      </c>
      <c r="AC44" s="92">
        <f>IF(AC19="Year 21",SUM(AC31:AC33)-SUM(AC35:AC41)-AC42,"")</f>
        <v>155.42828174938666</v>
      </c>
      <c r="AD44" s="92">
        <f>IF(AD19="Year 22",SUM(AD31:AD33)-SUM(AD35:AD41)-AD42,"")</f>
        <v>155.42828174938666</v>
      </c>
      <c r="AE44" s="92">
        <f>IF(AE19="Year 23",SUM(AE31:AE33)-SUM(AE35:AE41)-AE42,"")</f>
        <v>155.42828174938666</v>
      </c>
      <c r="AF44" s="92">
        <f>IF(AF19="Year 24",SUM(AF31:AF33)-SUM(AF35:AF41)-AF42,"")</f>
        <v>155.42828174938666</v>
      </c>
      <c r="AG44" s="92">
        <f>IF(AG19="Year 25",SUM(AG31:AG33)-SUM(AG35:AG41)-AG42,"")</f>
        <v>155.42828174938666</v>
      </c>
      <c r="AH44" s="92">
        <f>IF(AH19="Year 26",SUM(AH31:AH33)-SUM(AH35:AH41)-AH42,"")</f>
        <v>155.42828174938666</v>
      </c>
      <c r="AI44" s="92">
        <f>IF(AI19="Year 27",SUM(AI31:AI33)-SUM(AI35:AI41)-AI42,"")</f>
        <v>155.42828174938666</v>
      </c>
      <c r="AJ44" s="92">
        <f>IF(AJ19="Year 28",SUM(AJ31:AJ33)-SUM(AJ35:AJ41)-AJ42,"")</f>
        <v>155.42828174938666</v>
      </c>
      <c r="AK44" s="92">
        <f>IF(AK19="Year 29",SUM(AK31:AK33)-SUM(AK35:AK41)-AK42,"")</f>
        <v>155.42828174938666</v>
      </c>
      <c r="AL44" s="92">
        <f>IF(AL19="Year 30",SUM(AL31:AL33)-SUM(AL35:AL41)-AL42,"")</f>
        <v>155.42828174938666</v>
      </c>
      <c r="AM44" s="92">
        <f>IF(AM19="Year 31",SUM(AM31:AM33)-SUM(AM35:AM41)-AM42,"")</f>
        <v>0</v>
      </c>
    </row>
    <row r="45" spans="2:39" ht="13.5" thickBot="1" x14ac:dyDescent="0.25">
      <c r="B45" s="90" t="s">
        <v>130</v>
      </c>
      <c r="C45" s="91"/>
      <c r="D45" s="91"/>
      <c r="E45" s="91"/>
      <c r="F45" s="93">
        <f>F44</f>
        <v>-318.50000000000006</v>
      </c>
      <c r="G45" s="93">
        <f>-1*(ABS(G44)+ABS(F45))</f>
        <v>-891.80000000000018</v>
      </c>
      <c r="H45" s="93">
        <f>-1*(ABS(H44)+ABS(G45))</f>
        <v>-1274.0000000000002</v>
      </c>
      <c r="I45" s="93">
        <f t="shared" ref="I45:AB45" si="8">H45+I44</f>
        <v>-1169.2360198387046</v>
      </c>
      <c r="J45" s="93">
        <f t="shared" si="8"/>
        <v>-1039.1398888833635</v>
      </c>
      <c r="K45" s="93">
        <f t="shared" si="8"/>
        <v>-883.71160713397683</v>
      </c>
      <c r="L45" s="93">
        <f t="shared" si="8"/>
        <v>-728.28332538459017</v>
      </c>
      <c r="M45" s="93">
        <f t="shared" si="8"/>
        <v>-572.85504363520351</v>
      </c>
      <c r="N45" s="93">
        <f t="shared" si="8"/>
        <v>-417.42676188581686</v>
      </c>
      <c r="O45" s="93">
        <f t="shared" si="8"/>
        <v>-261.9984801364302</v>
      </c>
      <c r="P45" s="93">
        <f t="shared" si="8"/>
        <v>-106.57019838704355</v>
      </c>
      <c r="Q45" s="93">
        <f t="shared" si="8"/>
        <v>48.858083362343109</v>
      </c>
      <c r="R45" s="93">
        <f t="shared" si="8"/>
        <v>204.28636511172976</v>
      </c>
      <c r="S45" s="93">
        <f t="shared" si="8"/>
        <v>359.71464686111642</v>
      </c>
      <c r="T45" s="93">
        <f t="shared" si="8"/>
        <v>515.14292861050308</v>
      </c>
      <c r="U45" s="93">
        <f t="shared" si="8"/>
        <v>670.57121035988973</v>
      </c>
      <c r="V45" s="93">
        <f t="shared" si="8"/>
        <v>825.99949210927639</v>
      </c>
      <c r="W45" s="93">
        <f t="shared" si="8"/>
        <v>981.42777385866304</v>
      </c>
      <c r="X45" s="93">
        <f t="shared" si="8"/>
        <v>1136.8560556080497</v>
      </c>
      <c r="Y45" s="93">
        <f t="shared" si="8"/>
        <v>1292.2843373574365</v>
      </c>
      <c r="Z45" s="93">
        <f t="shared" si="8"/>
        <v>1447.7126191068232</v>
      </c>
      <c r="AA45" s="93">
        <f t="shared" si="8"/>
        <v>1603.14090085621</v>
      </c>
      <c r="AB45" s="93">
        <f t="shared" si="8"/>
        <v>1758.5691826055968</v>
      </c>
      <c r="AC45" s="93">
        <f>IF(AC19="Year 21",AB45+AC44,"")</f>
        <v>1913.9974643549835</v>
      </c>
      <c r="AD45" s="93">
        <f>IF(AD19="Year 22",AC45+AD44,"")</f>
        <v>2069.4257461043703</v>
      </c>
      <c r="AE45" s="93">
        <f>IF(AE19="Year 23",AD45+AE44,"")</f>
        <v>2224.8540278537571</v>
      </c>
      <c r="AF45" s="93">
        <f>IF(AF19="Year 24",AE45+AF44,"")</f>
        <v>2380.2823096031439</v>
      </c>
      <c r="AG45" s="93">
        <f>IF(AG19="Year 25",AF45+AG44,"")</f>
        <v>2535.7105913525306</v>
      </c>
      <c r="AH45" s="93">
        <f>IF(AH19="Year 26",AG45+AH44,"")</f>
        <v>2691.1388731019174</v>
      </c>
      <c r="AI45" s="93">
        <f>IF(AI19="Year 27",AH45+AI44,"")</f>
        <v>2846.5671548513042</v>
      </c>
      <c r="AJ45" s="93">
        <f>IF(AJ19="Year 28",AI45+AJ44,"")</f>
        <v>3001.9954366006909</v>
      </c>
      <c r="AK45" s="93">
        <f>IF(AK19="Year 29",AJ45+AK44,"")</f>
        <v>3157.4237183500777</v>
      </c>
      <c r="AL45" s="93">
        <f>IF(AL19="Year 30",AK45+AL44,"")</f>
        <v>3312.8520000994645</v>
      </c>
      <c r="AM45" s="93">
        <f>IF(AM19="Year 31",AL45+AM44,"")</f>
        <v>3312.8520000994645</v>
      </c>
    </row>
    <row r="46" spans="2:39" ht="13.5" thickBot="1" x14ac:dyDescent="0.25">
      <c r="B46" s="90"/>
      <c r="C46" s="91"/>
      <c r="D46" s="91"/>
      <c r="E46" s="91"/>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row>
    <row r="47" spans="2:39" ht="13.5" thickBot="1" x14ac:dyDescent="0.25">
      <c r="B47" s="90" t="s">
        <v>128</v>
      </c>
      <c r="C47" s="91"/>
      <c r="D47" s="91"/>
      <c r="E47" s="91"/>
      <c r="F47" s="93">
        <f>F45/(1+R9)</f>
        <v>-289.54545454545456</v>
      </c>
      <c r="G47" s="93">
        <f>G44/(1+R9)^2</f>
        <v>-473.80165289256195</v>
      </c>
      <c r="H47" s="93">
        <f>H44/(1+R9)^3</f>
        <v>-287.15251690458297</v>
      </c>
      <c r="I47" s="93">
        <f>I44/(1+R9)^4</f>
        <v>71.555208087764214</v>
      </c>
      <c r="J47" s="93">
        <f>J44/(1+R9)^5</f>
        <v>80.779461757667519</v>
      </c>
      <c r="K47" s="93">
        <f>K44/(1+R9)^6</f>
        <v>87.735213040582053</v>
      </c>
      <c r="L47" s="93">
        <f>L44/(1+R9)^7</f>
        <v>79.759284582347306</v>
      </c>
      <c r="M47" s="93">
        <f>M44/(1+R9)^8</f>
        <v>72.508440529406656</v>
      </c>
      <c r="N47" s="93">
        <f>N44/(1+R9)^9</f>
        <v>65.916764117642401</v>
      </c>
      <c r="O47" s="93">
        <f>O44/(1+R9)^10</f>
        <v>59.924331016038543</v>
      </c>
      <c r="P47" s="93">
        <f>P44/(1+R9)^11</f>
        <v>54.476664560035033</v>
      </c>
      <c r="Q47" s="93">
        <f>Q44/(1+R9)^12</f>
        <v>49.524240509122755</v>
      </c>
      <c r="R47" s="93">
        <f>R44/(1+R9)^13</f>
        <v>45.022036826475237</v>
      </c>
      <c r="S47" s="93">
        <f>S44/(1+R9)^14</f>
        <v>40.929124387704753</v>
      </c>
      <c r="T47" s="93">
        <f>T44/(1+R9)^15</f>
        <v>37.208294897913412</v>
      </c>
      <c r="U47" s="93">
        <f>U44/(1+R9)^16</f>
        <v>33.825722634466736</v>
      </c>
      <c r="V47" s="93">
        <f>V44/(1+R9)^17</f>
        <v>30.750656940424303</v>
      </c>
      <c r="W47" s="93">
        <f>W44/(1+R9)^18</f>
        <v>27.955142673113002</v>
      </c>
      <c r="X47" s="93">
        <f>X44/(1+R9)^19</f>
        <v>25.413766066466358</v>
      </c>
      <c r="Y47" s="93">
        <f>Y44/(1+R9)^20</f>
        <v>23.103423696787601</v>
      </c>
      <c r="Z47" s="93">
        <f>Z44/(1+R9)^21</f>
        <v>21.003112451625089</v>
      </c>
      <c r="AA47" s="93">
        <f>AA44/(1+R9)^22</f>
        <v>19.09373859238644</v>
      </c>
      <c r="AB47" s="93">
        <f>AB44/(1+R9)^23</f>
        <v>17.357944174896762</v>
      </c>
      <c r="AC47" s="93">
        <f>IF(AC19="Year 21",AC44/(1+R9)^24,"")</f>
        <v>15.779949249906151</v>
      </c>
      <c r="AD47" s="93">
        <f>IF(AD19="Year 22",AD44/(1+R9)^25,"")</f>
        <v>14.345408409005589</v>
      </c>
      <c r="AE47" s="93">
        <f>IF(AE19="Year 23",AE44/(1+R9)^26,"")</f>
        <v>13.041280371823262</v>
      </c>
      <c r="AF47" s="93">
        <f>IF(AF19="Year 24",AF44/(1+R9)^27,"")</f>
        <v>11.855709428930236</v>
      </c>
      <c r="AG47" s="93">
        <f>IF(AG19="Year 25",AG44/(1+R9)^28,"")</f>
        <v>10.777917662663851</v>
      </c>
      <c r="AH47" s="93">
        <f>IF(AH19="Year 26",AH44/(1+R9)^29,"")</f>
        <v>9.7981069660580467</v>
      </c>
      <c r="AI47" s="93">
        <f>IF(AI19="Year 27",AI44/(1+R9)^30,"")</f>
        <v>8.9073699691436765</v>
      </c>
      <c r="AJ47" s="93">
        <f>IF(AJ19="Year 28",AJ44/(1+R9)^31,"")</f>
        <v>8.0976090628578881</v>
      </c>
      <c r="AK47" s="93">
        <f>IF(AK19="Year 29",AK44/(1+R9)^32,"")</f>
        <v>7.3614627844162612</v>
      </c>
      <c r="AL47" s="93">
        <f>IF(AL19="Year 30",AL44/(1+R9)^33,"")</f>
        <v>6.6922388949238734</v>
      </c>
      <c r="AM47" s="93">
        <f>IF(AM19="Year 31",AM44/(1+R9)^34,"")</f>
        <v>0</v>
      </c>
    </row>
    <row r="48" spans="2:39" ht="13.5" thickBot="1" x14ac:dyDescent="0.25">
      <c r="B48" s="90" t="s">
        <v>131</v>
      </c>
      <c r="C48" s="91"/>
      <c r="D48" s="91"/>
      <c r="E48" s="91"/>
      <c r="F48" s="93">
        <f>F47</f>
        <v>-289.54545454545456</v>
      </c>
      <c r="G48" s="93">
        <f t="shared" ref="G48:AB48" si="9">SUM(G47+F48)</f>
        <v>-763.34710743801656</v>
      </c>
      <c r="H48" s="93">
        <f t="shared" si="9"/>
        <v>-1050.4996243425994</v>
      </c>
      <c r="I48" s="93">
        <f t="shared" si="9"/>
        <v>-978.94441625483523</v>
      </c>
      <c r="J48" s="93">
        <f t="shared" si="9"/>
        <v>-898.16495449716774</v>
      </c>
      <c r="K48" s="93">
        <f t="shared" si="9"/>
        <v>-810.4297414565857</v>
      </c>
      <c r="L48" s="93">
        <f t="shared" si="9"/>
        <v>-730.67045687423843</v>
      </c>
      <c r="M48" s="93">
        <f t="shared" si="9"/>
        <v>-658.16201634483173</v>
      </c>
      <c r="N48" s="93">
        <f t="shared" si="9"/>
        <v>-592.24525222718933</v>
      </c>
      <c r="O48" s="93">
        <f t="shared" si="9"/>
        <v>-532.32092121115079</v>
      </c>
      <c r="P48" s="93">
        <f t="shared" si="9"/>
        <v>-477.84425665111576</v>
      </c>
      <c r="Q48" s="93">
        <f t="shared" si="9"/>
        <v>-428.32001614199299</v>
      </c>
      <c r="R48" s="93">
        <f t="shared" si="9"/>
        <v>-383.29797931551775</v>
      </c>
      <c r="S48" s="93">
        <f t="shared" si="9"/>
        <v>-342.368854927813</v>
      </c>
      <c r="T48" s="93">
        <f t="shared" si="9"/>
        <v>-305.16056002989961</v>
      </c>
      <c r="U48" s="93">
        <f t="shared" si="9"/>
        <v>-271.33483739543288</v>
      </c>
      <c r="V48" s="93">
        <f t="shared" si="9"/>
        <v>-240.58418045500858</v>
      </c>
      <c r="W48" s="93">
        <f t="shared" si="9"/>
        <v>-212.62903778189559</v>
      </c>
      <c r="X48" s="93">
        <f t="shared" si="9"/>
        <v>-187.21527171542922</v>
      </c>
      <c r="Y48" s="93">
        <f t="shared" si="9"/>
        <v>-164.11184801864164</v>
      </c>
      <c r="Z48" s="93">
        <f t="shared" si="9"/>
        <v>-143.10873556701654</v>
      </c>
      <c r="AA48" s="93">
        <f t="shared" si="9"/>
        <v>-124.01499697463009</v>
      </c>
      <c r="AB48" s="93">
        <f t="shared" si="9"/>
        <v>-106.65705279973334</v>
      </c>
      <c r="AC48" s="93">
        <f>IF(AC19="Year 21",SUM(AC47+AB48),"")</f>
        <v>-90.877103549827183</v>
      </c>
      <c r="AD48" s="93">
        <f>IF(AD19="Year 22",SUM(AD47+AC48),"")</f>
        <v>-76.531695140821597</v>
      </c>
      <c r="AE48" s="93">
        <f>IF(AE19="Year 23",SUM(AE47+AD48),"")</f>
        <v>-63.490414768998335</v>
      </c>
      <c r="AF48" s="93">
        <f>IF(AF19="Year 24",SUM(AF47+AE48),"")</f>
        <v>-51.634705340068095</v>
      </c>
      <c r="AG48" s="93">
        <f>IF(AG19="Year 25",SUM(AG47+AF48),"")</f>
        <v>-40.856787677404242</v>
      </c>
      <c r="AH48" s="93">
        <f>IF(AH19="Year 26",SUM(AH47+AG48),"")</f>
        <v>-31.058680711346195</v>
      </c>
      <c r="AI48" s="93">
        <f>IF(AI19="Year 27",SUM(AI47+AH48),"")</f>
        <v>-22.151310742202519</v>
      </c>
      <c r="AJ48" s="93">
        <f>IF(AJ19="Year 28",SUM(AJ47+AI48),"")</f>
        <v>-14.053701679344631</v>
      </c>
      <c r="AK48" s="93">
        <f>IF(AK19="Year 29",SUM(AK47+AJ48),"")</f>
        <v>-6.6922388949283693</v>
      </c>
      <c r="AL48" s="93">
        <f>IF(AL19="Year 30",SUM(AL47+AK48),"")</f>
        <v>-4.4959591605220339E-12</v>
      </c>
      <c r="AM48" s="93">
        <f>IF(AM19="Year 31",SUM(AM47+AL48),"")</f>
        <v>-4.4959591605220339E-12</v>
      </c>
    </row>
    <row r="49" spans="6:40" x14ac:dyDescent="0.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6:40" s="229" customFormat="1" x14ac:dyDescent="0.2">
      <c r="F50" s="230"/>
      <c r="G50" s="230"/>
      <c r="H50" s="230"/>
      <c r="I50" s="230"/>
      <c r="J50" s="230"/>
      <c r="K50" s="230"/>
      <c r="L50" s="230"/>
      <c r="M50" s="230"/>
      <c r="N50" s="230"/>
      <c r="O50" s="230"/>
      <c r="P50" s="230"/>
      <c r="Q50" s="230"/>
      <c r="R50" s="230"/>
      <c r="S50" s="230"/>
      <c r="T50" s="230"/>
      <c r="U50" s="230"/>
      <c r="V50" s="230"/>
      <c r="W50" s="230"/>
      <c r="X50" s="230"/>
      <c r="Y50" s="230"/>
      <c r="Z50" s="230"/>
      <c r="AA50" s="230" t="s">
        <v>203</v>
      </c>
      <c r="AB50" s="230"/>
      <c r="AC50" s="231">
        <f>SUM(AC47+AB48)</f>
        <v>-90.877103549827183</v>
      </c>
      <c r="AD50" s="231">
        <f>IF(AD47="",AC48,SUM(AD47+AC48))</f>
        <v>-76.531695140821597</v>
      </c>
      <c r="AE50" s="231">
        <f>IF(AE47="",AD50,SUM(AE47+AD50))</f>
        <v>-63.490414768998335</v>
      </c>
      <c r="AF50" s="231">
        <f>IF(AF47="",AE50,SUM(AF47+AE50))</f>
        <v>-51.634705340068095</v>
      </c>
      <c r="AG50" s="231">
        <f t="shared" ref="AG50:AN50" si="10">IF(AG47="",AF50,SUM(AG47+AF50))</f>
        <v>-40.856787677404242</v>
      </c>
      <c r="AH50" s="231">
        <f t="shared" si="10"/>
        <v>-31.058680711346195</v>
      </c>
      <c r="AI50" s="231">
        <f t="shared" si="10"/>
        <v>-22.151310742202519</v>
      </c>
      <c r="AJ50" s="231">
        <f t="shared" si="10"/>
        <v>-14.053701679344631</v>
      </c>
      <c r="AK50" s="231">
        <f t="shared" si="10"/>
        <v>-6.6922388949283693</v>
      </c>
      <c r="AL50" s="231">
        <f t="shared" si="10"/>
        <v>-4.4959591605220339E-12</v>
      </c>
      <c r="AM50" s="231">
        <f t="shared" si="10"/>
        <v>-4.4959591605220339E-12</v>
      </c>
      <c r="AN50" s="231">
        <f t="shared" si="10"/>
        <v>-4.4959591605220339E-12</v>
      </c>
    </row>
    <row r="51" spans="6:40" x14ac:dyDescent="0.2">
      <c r="F51" s="82"/>
      <c r="G51" s="82"/>
      <c r="H51" s="87"/>
    </row>
    <row r="52" spans="6:40" x14ac:dyDescent="0.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row>
    <row r="53" spans="6:40" x14ac:dyDescent="0.2">
      <c r="I53" s="82"/>
    </row>
  </sheetData>
  <sheetProtection password="C9BE" sheet="1" objects="1" scenarios="1" selectLockedCells="1" selectUnlockedCells="1"/>
  <protectedRanges>
    <protectedRange sqref="AN50" name="Range2"/>
    <protectedRange sqref="R5" name="Range1"/>
  </protectedRanges>
  <customSheetViews>
    <customSheetView guid="{F792C52D-3F7D-4169-B87A-F2F2698FB257}" scale="75" fitToPage="1" showRuler="0">
      <pane xSplit="5" ySplit="15" topLeftCell="F16" activePane="bottomRight" state="frozen"/>
      <selection pane="bottomRight" activeCell="J54" sqref="J54"/>
      <pageMargins left="0.75" right="0.75" top="1" bottom="1" header="0.5" footer="0.5"/>
      <pageSetup paperSize="9" scale="39" orientation="landscape" r:id="rId1"/>
      <headerFooter alignWithMargins="0"/>
    </customSheetView>
  </customSheetViews>
  <mergeCells count="1">
    <mergeCell ref="F17:AG17"/>
  </mergeCells>
  <phoneticPr fontId="4" type="noConversion"/>
  <pageMargins left="0.75" right="0.75" top="1" bottom="1" header="0.5" footer="0.5"/>
  <pageSetup paperSize="9" scale="32"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AN46"/>
  <sheetViews>
    <sheetView zoomScale="75" workbookViewId="0">
      <pane xSplit="5" ySplit="15" topLeftCell="F16" activePane="bottomRight" state="frozen"/>
      <selection activeCell="E60" sqref="E60"/>
      <selection pane="topRight" activeCell="E60" sqref="E60"/>
      <selection pane="bottomLeft" activeCell="E60" sqref="E60"/>
      <selection pane="bottomRight"/>
    </sheetView>
  </sheetViews>
  <sheetFormatPr defaultRowHeight="12.75" x14ac:dyDescent="0.2"/>
  <cols>
    <col min="5" max="5" width="9.42578125" customWidth="1"/>
    <col min="6" max="7" width="10.140625" bestFit="1" customWidth="1"/>
    <col min="8" max="8" width="10.85546875" customWidth="1"/>
    <col min="9" max="9" width="11.28515625" bestFit="1" customWidth="1"/>
    <col min="10" max="10" width="10.28515625" bestFit="1" customWidth="1"/>
    <col min="11" max="11" width="9.85546875" customWidth="1"/>
    <col min="12" max="16" width="10.140625" bestFit="1" customWidth="1"/>
    <col min="17" max="17" width="13.42578125" customWidth="1"/>
    <col min="18" max="20" width="10.140625" bestFit="1" customWidth="1"/>
    <col min="21" max="33" width="9.7109375" bestFit="1" customWidth="1"/>
  </cols>
  <sheetData>
    <row r="2" spans="2:23" x14ac:dyDescent="0.2">
      <c r="E2" s="127"/>
    </row>
    <row r="4" spans="2:23" x14ac:dyDescent="0.2">
      <c r="B4" s="1" t="s">
        <v>0</v>
      </c>
      <c r="G4" s="1" t="s">
        <v>6</v>
      </c>
      <c r="I4" s="1" t="s">
        <v>12</v>
      </c>
      <c r="K4" s="1" t="s">
        <v>13</v>
      </c>
      <c r="L4" s="1" t="s">
        <v>14</v>
      </c>
      <c r="P4" s="1" t="s">
        <v>16</v>
      </c>
    </row>
    <row r="5" spans="2:23" x14ac:dyDescent="0.2">
      <c r="B5" t="s">
        <v>164</v>
      </c>
      <c r="D5" t="s">
        <v>2</v>
      </c>
      <c r="E5" s="82">
        <f>'Input Data'!U27</f>
        <v>127.91666666666667</v>
      </c>
      <c r="G5" t="s">
        <v>7</v>
      </c>
      <c r="I5">
        <f>'Input Data'!U60</f>
        <v>731.39999999999986</v>
      </c>
      <c r="K5" t="s">
        <v>76</v>
      </c>
      <c r="M5">
        <f>'Input Data'!U76</f>
        <v>265</v>
      </c>
      <c r="N5" t="s">
        <v>26</v>
      </c>
      <c r="P5" t="s">
        <v>120</v>
      </c>
      <c r="R5" s="225">
        <v>6.9567271548539492E-2</v>
      </c>
      <c r="S5" t="s">
        <v>136</v>
      </c>
    </row>
    <row r="6" spans="2:23" x14ac:dyDescent="0.2">
      <c r="B6" t="s">
        <v>4</v>
      </c>
      <c r="D6" t="s">
        <v>3</v>
      </c>
      <c r="E6" s="128">
        <f>'Input Data'!U23</f>
        <v>842.3</v>
      </c>
      <c r="G6" t="s">
        <v>8</v>
      </c>
      <c r="I6" s="125">
        <f>'Input Data'!U65</f>
        <v>0.05</v>
      </c>
      <c r="K6" t="s">
        <v>20</v>
      </c>
      <c r="M6">
        <f>'Input Data'!U72</f>
        <v>25.5</v>
      </c>
      <c r="N6" t="s">
        <v>135</v>
      </c>
    </row>
    <row r="7" spans="2:23" ht="15.75" x14ac:dyDescent="0.3">
      <c r="G7" t="s">
        <v>9</v>
      </c>
      <c r="I7" s="125">
        <f>'Input Data'!U66</f>
        <v>0.1</v>
      </c>
      <c r="K7" t="s">
        <v>199</v>
      </c>
      <c r="M7" s="227">
        <f>'Input Data'!U77</f>
        <v>0</v>
      </c>
      <c r="N7" s="223" t="s">
        <v>26</v>
      </c>
      <c r="W7" s="192"/>
    </row>
    <row r="8" spans="2:23" x14ac:dyDescent="0.2">
      <c r="G8" t="s">
        <v>10</v>
      </c>
      <c r="I8" s="126">
        <f>'Input Data'!U64</f>
        <v>0.25</v>
      </c>
      <c r="K8" s="1" t="s">
        <v>121</v>
      </c>
      <c r="N8" s="85" t="s">
        <v>126</v>
      </c>
      <c r="P8" s="1"/>
      <c r="Q8" s="1"/>
      <c r="R8" s="98"/>
      <c r="S8" s="1"/>
      <c r="T8" s="99"/>
      <c r="U8" s="1"/>
    </row>
    <row r="9" spans="2:23" x14ac:dyDescent="0.2">
      <c r="K9" t="s">
        <v>106</v>
      </c>
      <c r="N9">
        <f>'Input Data'!U78</f>
        <v>60</v>
      </c>
      <c r="P9" t="s">
        <v>127</v>
      </c>
      <c r="R9" s="86">
        <f>'Input Data'!U86</f>
        <v>0.1</v>
      </c>
      <c r="T9" s="192"/>
    </row>
    <row r="10" spans="2:23" x14ac:dyDescent="0.2">
      <c r="B10" s="179" t="str">
        <f>IF('Input Data'!U9&gt;0.001,"Performance Data: User Adjusted","")</f>
        <v/>
      </c>
      <c r="G10" t="s">
        <v>11</v>
      </c>
      <c r="I10" s="128">
        <f>I5+(I6*I5)+(I5*I7)+(I5*I8)</f>
        <v>1023.9599999999998</v>
      </c>
      <c r="K10" t="s">
        <v>107</v>
      </c>
      <c r="N10">
        <f>'Input Data'!U79</f>
        <v>0.05</v>
      </c>
      <c r="P10" t="s">
        <v>24</v>
      </c>
      <c r="R10" s="83">
        <f>'Input Data'!U81</f>
        <v>0.02</v>
      </c>
      <c r="S10" t="s">
        <v>125</v>
      </c>
    </row>
    <row r="11" spans="2:23" x14ac:dyDescent="0.2">
      <c r="K11" t="s">
        <v>122</v>
      </c>
      <c r="N11" s="83">
        <f>'Input Data'!U80</f>
        <v>0.3</v>
      </c>
    </row>
    <row r="12" spans="2:23" x14ac:dyDescent="0.2">
      <c r="K12" s="1" t="s">
        <v>133</v>
      </c>
      <c r="N12" s="272">
        <f>(N9*N10)*(1+N11)</f>
        <v>3.9000000000000004</v>
      </c>
    </row>
    <row r="13" spans="2:23" x14ac:dyDescent="0.2">
      <c r="G13" s="179" t="str">
        <f>IF('Input Data'!U47&gt;0.001,"Capital and Cost Data: User Adjusted","")</f>
        <v/>
      </c>
      <c r="P13" s="179" t="str">
        <f>IF('Input Data'!U83&gt;0.001,"Revenue Data: User Adjusted","")</f>
        <v/>
      </c>
    </row>
    <row r="14" spans="2:23" x14ac:dyDescent="0.2">
      <c r="G14" s="177"/>
      <c r="K14" s="179" t="str">
        <f>IF('Input Data'!U70&gt;0.001,"Operating Data: User Adjusted","")</f>
        <v/>
      </c>
    </row>
    <row r="15" spans="2:23" x14ac:dyDescent="0.2">
      <c r="G15" s="177"/>
    </row>
    <row r="16" spans="2:23" ht="13.5" thickBot="1" x14ac:dyDescent="0.25">
      <c r="G16" s="177"/>
    </row>
    <row r="17" spans="2:39"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Data'!R102</f>
        <v>2012</v>
      </c>
      <c r="J18" s="78">
        <f>'Input Data'!R103</f>
        <v>2013</v>
      </c>
      <c r="K18" s="78">
        <f>'Input Data'!R104</f>
        <v>2014</v>
      </c>
      <c r="L18" s="78">
        <f>'Input Data'!R105</f>
        <v>2015</v>
      </c>
      <c r="M18" s="78">
        <f>'Input Data'!R106</f>
        <v>2016</v>
      </c>
      <c r="N18" s="78">
        <f>'Input Data'!R107</f>
        <v>2017</v>
      </c>
      <c r="O18" s="78">
        <f>'Input Data'!R108</f>
        <v>2018</v>
      </c>
      <c r="P18" s="78">
        <f>'Input Data'!R109</f>
        <v>2019</v>
      </c>
      <c r="Q18" s="78">
        <f>'Input Data'!R110</f>
        <v>2020</v>
      </c>
      <c r="R18" s="78">
        <f>'Input Data'!R111</f>
        <v>2021</v>
      </c>
      <c r="S18" s="78">
        <f>'Input Data'!R112</f>
        <v>2022</v>
      </c>
      <c r="T18" s="78">
        <f>'Input Data'!R113</f>
        <v>2023</v>
      </c>
      <c r="U18" s="78">
        <f>'Input Data'!R114</f>
        <v>2024</v>
      </c>
      <c r="V18" s="78">
        <f>'Input Data'!R115</f>
        <v>2025</v>
      </c>
      <c r="W18" s="78">
        <f>'Input Data'!R116</f>
        <v>2026</v>
      </c>
      <c r="X18" s="78">
        <f>'Input Data'!R117</f>
        <v>2027</v>
      </c>
      <c r="Y18" s="78">
        <f>'Input Data'!R118</f>
        <v>2028</v>
      </c>
      <c r="Z18" s="78">
        <f>'Input Data'!R119</f>
        <v>2029</v>
      </c>
      <c r="AA18" s="78">
        <f>'Input Data'!R120</f>
        <v>2030</v>
      </c>
      <c r="AB18" s="78">
        <f>'Input Data'!R121</f>
        <v>2031</v>
      </c>
      <c r="AC18" s="78">
        <f>'Input Data'!R122</f>
        <v>2032</v>
      </c>
      <c r="AD18" s="78" t="str">
        <f>'Input Data'!R123</f>
        <v/>
      </c>
      <c r="AE18" s="78" t="str">
        <f>'Input Data'!R124</f>
        <v/>
      </c>
      <c r="AF18" s="78" t="str">
        <f>'Input Data'!R125</f>
        <v/>
      </c>
      <c r="AG18" s="78" t="str">
        <f>'Input Data'!R126</f>
        <v/>
      </c>
      <c r="AH18" s="78" t="str">
        <f>'Input Data'!R127</f>
        <v/>
      </c>
      <c r="AI18" s="78" t="str">
        <f>'Input Data'!R128</f>
        <v/>
      </c>
      <c r="AJ18" s="78" t="str">
        <f>'Input Data'!R129</f>
        <v/>
      </c>
      <c r="AK18" s="78" t="str">
        <f>'Input Data'!R130</f>
        <v/>
      </c>
      <c r="AL18" s="78" t="str">
        <f>'Input Data'!R131</f>
        <v/>
      </c>
      <c r="AM18" s="79" t="str">
        <f>'Input Data'!R132</f>
        <v/>
      </c>
    </row>
    <row r="19" spans="2:39" ht="22.5" customHeight="1" thickBot="1" x14ac:dyDescent="0.25">
      <c r="B19" s="1" t="s">
        <v>12</v>
      </c>
      <c r="F19" s="190" t="s">
        <v>169</v>
      </c>
      <c r="G19" s="188" t="s">
        <v>168</v>
      </c>
      <c r="H19" s="188" t="s">
        <v>167</v>
      </c>
      <c r="I19" s="188" t="str">
        <f>'Input Data'!Q102</f>
        <v>Year 1</v>
      </c>
      <c r="J19" s="188" t="str">
        <f>'Input Data'!Q103</f>
        <v>Year 2</v>
      </c>
      <c r="K19" s="188" t="str">
        <f>'Input Data'!Q104</f>
        <v>Year 3</v>
      </c>
      <c r="L19" s="188" t="str">
        <f>'Input Data'!Q105</f>
        <v>Year 4</v>
      </c>
      <c r="M19" s="188" t="str">
        <f>'Input Data'!Q106</f>
        <v>Year 5</v>
      </c>
      <c r="N19" s="188" t="str">
        <f>'Input Data'!Q107</f>
        <v>Year 6</v>
      </c>
      <c r="O19" s="188" t="str">
        <f>'Input Data'!Q108</f>
        <v>Year 7</v>
      </c>
      <c r="P19" s="188" t="str">
        <f>'Input Data'!Q109</f>
        <v>Year 8</v>
      </c>
      <c r="Q19" s="188" t="str">
        <f>'Input Data'!Q110</f>
        <v>Year 9</v>
      </c>
      <c r="R19" s="188" t="str">
        <f>'Input Data'!Q111</f>
        <v>Year 10</v>
      </c>
      <c r="S19" s="188" t="str">
        <f>'Input Data'!Q112</f>
        <v>Year 11</v>
      </c>
      <c r="T19" s="188" t="str">
        <f>'Input Data'!Q113</f>
        <v>Year 12</v>
      </c>
      <c r="U19" s="188" t="str">
        <f>'Input Data'!Q114</f>
        <v>Year 13</v>
      </c>
      <c r="V19" s="188" t="str">
        <f>'Input Data'!Q115</f>
        <v>Year 14</v>
      </c>
      <c r="W19" s="188" t="str">
        <f>'Input Data'!Q116</f>
        <v>Year 15</v>
      </c>
      <c r="X19" s="188" t="str">
        <f>'Input Data'!Q117</f>
        <v>Year 16</v>
      </c>
      <c r="Y19" s="188" t="str">
        <f>'Input Data'!Q118</f>
        <v>Year 17</v>
      </c>
      <c r="Z19" s="188" t="str">
        <f>'Input Data'!Q119</f>
        <v>Year 18</v>
      </c>
      <c r="AA19" s="188" t="str">
        <f>'Input Data'!Q120</f>
        <v>Year 19</v>
      </c>
      <c r="AB19" s="188" t="str">
        <f>'Input Data'!Q121</f>
        <v>Year 20</v>
      </c>
      <c r="AC19" s="188" t="str">
        <f>'Input Data'!Q122</f>
        <v>Year 21</v>
      </c>
      <c r="AD19" s="188" t="str">
        <f>'Input Data'!Q123</f>
        <v/>
      </c>
      <c r="AE19" s="188" t="str">
        <f>'Input Data'!Q124</f>
        <v/>
      </c>
      <c r="AF19" s="188" t="str">
        <f>'Input Data'!Q125</f>
        <v/>
      </c>
      <c r="AG19" s="188" t="str">
        <f>'Input Data'!Q126</f>
        <v/>
      </c>
      <c r="AH19" s="188" t="str">
        <f>'Input Data'!Q127</f>
        <v/>
      </c>
      <c r="AI19" s="188" t="str">
        <f>'Input Data'!Q128</f>
        <v/>
      </c>
      <c r="AJ19" s="188" t="str">
        <f>'Input Data'!Q129</f>
        <v/>
      </c>
      <c r="AK19" s="188" t="str">
        <f>'Input Data'!Q130</f>
        <v/>
      </c>
      <c r="AL19" s="188" t="str">
        <f>'Input Data'!Q131</f>
        <v/>
      </c>
      <c r="AM19" s="189" t="str">
        <f>'Input Data'!Q132</f>
        <v/>
      </c>
    </row>
    <row r="21" spans="2:39" x14ac:dyDescent="0.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9" x14ac:dyDescent="0.2">
      <c r="B22" s="1" t="s">
        <v>161</v>
      </c>
      <c r="F22" s="80"/>
      <c r="G22" s="80"/>
      <c r="H22" s="80"/>
      <c r="I22" s="80">
        <f>'Input Data'!S102</f>
        <v>1</v>
      </c>
      <c r="J22" s="80">
        <f>'Input Data'!S103</f>
        <v>1</v>
      </c>
      <c r="K22" s="80">
        <f>'Input Data'!S104</f>
        <v>1</v>
      </c>
      <c r="L22" s="80">
        <f>'Input Data'!S105</f>
        <v>1</v>
      </c>
      <c r="M22" s="80">
        <f>'Input Data'!S106</f>
        <v>1</v>
      </c>
      <c r="N22" s="80">
        <f>'Input Data'!S107</f>
        <v>1</v>
      </c>
      <c r="O22" s="80">
        <f>'Input Data'!S108</f>
        <v>1</v>
      </c>
      <c r="P22" s="80">
        <f>'Input Data'!S109</f>
        <v>1</v>
      </c>
      <c r="Q22" s="80">
        <f>'Input Data'!S110</f>
        <v>1</v>
      </c>
      <c r="R22" s="80">
        <f>'Input Data'!S111</f>
        <v>1</v>
      </c>
      <c r="S22" s="80">
        <f>'Input Data'!S112</f>
        <v>1</v>
      </c>
      <c r="T22" s="80">
        <f>'Input Data'!S113</f>
        <v>1</v>
      </c>
      <c r="U22" s="80">
        <f>'Input Data'!S114</f>
        <v>1</v>
      </c>
      <c r="V22" s="80">
        <f>'Input Data'!S115</f>
        <v>1</v>
      </c>
      <c r="W22" s="80">
        <f>'Input Data'!S116</f>
        <v>1</v>
      </c>
      <c r="X22" s="80">
        <f>'Input Data'!S117</f>
        <v>1</v>
      </c>
      <c r="Y22" s="80">
        <f>'Input Data'!S118</f>
        <v>1</v>
      </c>
      <c r="Z22" s="80">
        <f>'Input Data'!S119</f>
        <v>1</v>
      </c>
      <c r="AA22" s="80">
        <f>'Input Data'!S120</f>
        <v>1</v>
      </c>
      <c r="AB22" s="80">
        <f>'Input Data'!S121</f>
        <v>1</v>
      </c>
      <c r="AC22" s="80" t="str">
        <f>IF('Input Data'!U89&gt;20,'Input Data'!S122,"")</f>
        <v/>
      </c>
      <c r="AD22" s="80" t="str">
        <f>IF(AD19="Year 22",'Input Data'!S123,"")</f>
        <v/>
      </c>
      <c r="AE22" s="80" t="str">
        <f>IF(AE19="Year 23",'Input Data'!S124,"")</f>
        <v/>
      </c>
      <c r="AF22" s="80" t="str">
        <f>IF(AF19="Year 24",'Input Data'!S125,"")</f>
        <v/>
      </c>
      <c r="AG22" s="80" t="str">
        <f>IF(AG19="Year 25",'Input Data'!S126,"")</f>
        <v/>
      </c>
      <c r="AH22" s="80" t="str">
        <f>IF('Input Data'!U89&gt;25,'Input Data'!S127,"")</f>
        <v/>
      </c>
      <c r="AI22" s="80" t="str">
        <f>IF(AI19="Year 27",'Input Data'!S128,"")</f>
        <v/>
      </c>
      <c r="AJ22" s="80" t="str">
        <f>IF(AJ19="Year 28",'Input Data'!S129,"")</f>
        <v/>
      </c>
      <c r="AK22" s="80" t="str">
        <f>IF(AK19="Year 29",'Input Data'!S130,"")</f>
        <v/>
      </c>
      <c r="AL22" s="80" t="str">
        <f>IF(AL19="Year 30",'Input Data'!S131,"")</f>
        <v/>
      </c>
      <c r="AM22" s="80" t="str">
        <f>IF('Input Data'!U89&gt;30,'Input Data'!S132,"")</f>
        <v/>
      </c>
    </row>
    <row r="23" spans="2:39" x14ac:dyDescent="0.2">
      <c r="B23" s="1" t="s">
        <v>160</v>
      </c>
      <c r="F23" s="80"/>
      <c r="G23" s="80"/>
      <c r="H23" s="80"/>
      <c r="I23" s="80">
        <f>'Input Data'!T102</f>
        <v>0.65</v>
      </c>
      <c r="J23" s="80">
        <f>'Input Data'!T103</f>
        <v>0.75</v>
      </c>
      <c r="K23" s="80">
        <f>'Input Data'!T104</f>
        <v>0.85</v>
      </c>
      <c r="L23" s="80">
        <f>'Input Data'!T105</f>
        <v>0.85</v>
      </c>
      <c r="M23" s="80">
        <f>'Input Data'!T106</f>
        <v>0.85</v>
      </c>
      <c r="N23" s="80">
        <f>'Input Data'!T107</f>
        <v>0.85</v>
      </c>
      <c r="O23" s="80">
        <f>'Input Data'!T108</f>
        <v>0.85</v>
      </c>
      <c r="P23" s="80">
        <f>'Input Data'!T109</f>
        <v>0.85</v>
      </c>
      <c r="Q23" s="80">
        <f>'Input Data'!T110</f>
        <v>0.85</v>
      </c>
      <c r="R23" s="80">
        <f>'Input Data'!T111</f>
        <v>0.85</v>
      </c>
      <c r="S23" s="80">
        <f>'Input Data'!T112</f>
        <v>0.85</v>
      </c>
      <c r="T23" s="80">
        <f>'Input Data'!T113</f>
        <v>0.85</v>
      </c>
      <c r="U23" s="80">
        <f>'Input Data'!T114</f>
        <v>0.85</v>
      </c>
      <c r="V23" s="80">
        <f>'Input Data'!T115</f>
        <v>0.85</v>
      </c>
      <c r="W23" s="80">
        <f>'Input Data'!T116</f>
        <v>0.85</v>
      </c>
      <c r="X23" s="80">
        <f>'Input Data'!T117</f>
        <v>0.85</v>
      </c>
      <c r="Y23" s="80">
        <f>'Input Data'!T118</f>
        <v>0.85</v>
      </c>
      <c r="Z23" s="80">
        <f>'Input Data'!T119</f>
        <v>0.85</v>
      </c>
      <c r="AA23" s="80">
        <f>'Input Data'!T120</f>
        <v>0.85</v>
      </c>
      <c r="AB23" s="80">
        <f>'Input Data'!T121</f>
        <v>0.85</v>
      </c>
      <c r="AC23" s="80" t="str">
        <f>IF('Input Data'!U89&gt;20,'Input Data'!T122,"")</f>
        <v/>
      </c>
      <c r="AD23" s="80" t="str">
        <f>IF(AD19="Year 22",'Input Data'!T123,"")</f>
        <v/>
      </c>
      <c r="AE23" s="80" t="str">
        <f>IF(AE19="Year 23",'Input Data'!T124,"")</f>
        <v/>
      </c>
      <c r="AF23" s="80" t="str">
        <f>IF(AF19="Year 24",'Input Data'!T125,"")</f>
        <v/>
      </c>
      <c r="AG23" s="80" t="str">
        <f>IF(AG19="Year 25",'Input Data'!T126,"")</f>
        <v/>
      </c>
      <c r="AH23" s="80" t="str">
        <f>IF('Input Data'!U89&gt;25,'Input Data'!T127,"")</f>
        <v/>
      </c>
      <c r="AI23" s="80" t="str">
        <f>IF(AI19="Year 27",'Input Data'!T128,"")</f>
        <v/>
      </c>
      <c r="AJ23" s="80" t="str">
        <f>IF(AJ19="Year 28",'Input Data'!T129,"")</f>
        <v/>
      </c>
      <c r="AK23" s="80" t="str">
        <f>IF(AK19="Year 29",'Input Data'!T130,"")</f>
        <v/>
      </c>
      <c r="AL23" s="80" t="str">
        <f>IF(AL19="Year 30",'Input Data'!T131,"")</f>
        <v/>
      </c>
      <c r="AM23" s="80" t="str">
        <f>IF('Input Data'!U89&gt;30,'Input Data'!T132,"")</f>
        <v/>
      </c>
    </row>
    <row r="24" spans="2:39" x14ac:dyDescent="0.2">
      <c r="B24" s="2" t="s">
        <v>162</v>
      </c>
      <c r="F24" s="3"/>
      <c r="G24" s="3"/>
      <c r="H24" s="3"/>
      <c r="I24" s="101">
        <f t="shared" ref="I24:AB24" si="0">I22*8760*I23</f>
        <v>5694</v>
      </c>
      <c r="J24" s="101">
        <f t="shared" si="0"/>
        <v>6570</v>
      </c>
      <c r="K24" s="101">
        <f t="shared" si="0"/>
        <v>7446</v>
      </c>
      <c r="L24" s="101">
        <f t="shared" si="0"/>
        <v>7446</v>
      </c>
      <c r="M24" s="101">
        <f t="shared" si="0"/>
        <v>7446</v>
      </c>
      <c r="N24" s="101">
        <f t="shared" si="0"/>
        <v>7446</v>
      </c>
      <c r="O24" s="101">
        <f t="shared" si="0"/>
        <v>7446</v>
      </c>
      <c r="P24" s="101">
        <f t="shared" si="0"/>
        <v>7446</v>
      </c>
      <c r="Q24" s="101">
        <f t="shared" si="0"/>
        <v>7446</v>
      </c>
      <c r="R24" s="101">
        <f t="shared" si="0"/>
        <v>7446</v>
      </c>
      <c r="S24" s="101">
        <f t="shared" si="0"/>
        <v>7446</v>
      </c>
      <c r="T24" s="101">
        <f t="shared" si="0"/>
        <v>7446</v>
      </c>
      <c r="U24" s="101">
        <f t="shared" si="0"/>
        <v>7446</v>
      </c>
      <c r="V24" s="101">
        <f t="shared" si="0"/>
        <v>7446</v>
      </c>
      <c r="W24" s="101">
        <f t="shared" si="0"/>
        <v>7446</v>
      </c>
      <c r="X24" s="101">
        <f t="shared" si="0"/>
        <v>7446</v>
      </c>
      <c r="Y24" s="101">
        <f t="shared" si="0"/>
        <v>7446</v>
      </c>
      <c r="Z24" s="101">
        <f t="shared" si="0"/>
        <v>7446</v>
      </c>
      <c r="AA24" s="101">
        <f t="shared" si="0"/>
        <v>7446</v>
      </c>
      <c r="AB24" s="101">
        <f t="shared" si="0"/>
        <v>7446</v>
      </c>
      <c r="AC24" s="101" t="str">
        <f>IF('Input Data'!U89&gt;20, AC22*8760*AC23,"")</f>
        <v/>
      </c>
      <c r="AD24" s="101" t="str">
        <f>IF(AD19="Year 22",AD22*8760*AD23,"")</f>
        <v/>
      </c>
      <c r="AE24" s="101" t="str">
        <f>IF(AE19="Year 23",AE22*8760*AE23,"")</f>
        <v/>
      </c>
      <c r="AF24" s="101" t="str">
        <f>IF(AF19="Year 24",AF22*8760*AF23,"")</f>
        <v/>
      </c>
      <c r="AG24" s="101" t="str">
        <f>IF(AG19="Year 25",AG22*8760*AG23,"")</f>
        <v/>
      </c>
      <c r="AH24" s="101" t="str">
        <f>IF('Input Data'!U89&gt;25,AH22*8760*AH23,"")</f>
        <v/>
      </c>
      <c r="AI24" s="101" t="str">
        <f>IF(AI19="Year 27",AI22*8760*AI23,"")</f>
        <v/>
      </c>
      <c r="AJ24" s="101" t="str">
        <f>IF(AJ19="Year 28",AJ22*8760*AJ23,"")</f>
        <v/>
      </c>
      <c r="AK24" s="101" t="str">
        <f>IF(AK19="Year 29",AK22*8760*AK23,"")</f>
        <v/>
      </c>
      <c r="AL24" s="101" t="str">
        <f>IF(AL19="Year 30",AL22*8760*AL23,"")</f>
        <v/>
      </c>
      <c r="AM24" s="101" t="str">
        <f>IF('Input Data'!U89&gt;30,AM22*8760*AM23,"")</f>
        <v/>
      </c>
    </row>
    <row r="25" spans="2:39" x14ac:dyDescent="0.2">
      <c r="B25" s="1" t="s">
        <v>15</v>
      </c>
      <c r="F25" s="80">
        <f>'Input Data'!U96</f>
        <v>0.25</v>
      </c>
      <c r="G25" s="80">
        <f>'Input Data'!U97</f>
        <v>0.45</v>
      </c>
      <c r="H25" s="80">
        <f>'Input Data'!U98</f>
        <v>0.3</v>
      </c>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9" x14ac:dyDescent="0.2">
      <c r="B26" s="1" t="s">
        <v>16</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2:39" x14ac:dyDescent="0.2">
      <c r="B27" s="2" t="s">
        <v>17</v>
      </c>
      <c r="F27" s="3"/>
      <c r="G27" s="3"/>
      <c r="H27" s="3"/>
      <c r="I27" s="87">
        <f>$E$6*I24*$R$5/1000</f>
        <v>333.64854402745641</v>
      </c>
      <c r="J27" s="87">
        <f t="shared" ref="J27:AB27" si="1">$E$6*J24*$R$5/1000</f>
        <v>384.97908926244969</v>
      </c>
      <c r="K27" s="87">
        <f t="shared" si="1"/>
        <v>436.30963449744297</v>
      </c>
      <c r="L27" s="87">
        <f t="shared" si="1"/>
        <v>436.30963449744297</v>
      </c>
      <c r="M27" s="87">
        <f t="shared" si="1"/>
        <v>436.30963449744297</v>
      </c>
      <c r="N27" s="87">
        <f t="shared" si="1"/>
        <v>436.30963449744297</v>
      </c>
      <c r="O27" s="87">
        <f t="shared" si="1"/>
        <v>436.30963449744297</v>
      </c>
      <c r="P27" s="87">
        <f t="shared" si="1"/>
        <v>436.30963449744297</v>
      </c>
      <c r="Q27" s="87">
        <f t="shared" si="1"/>
        <v>436.30963449744297</v>
      </c>
      <c r="R27" s="87">
        <f t="shared" si="1"/>
        <v>436.30963449744297</v>
      </c>
      <c r="S27" s="87">
        <f>$E$6*S24*$R$5/1000</f>
        <v>436.30963449744297</v>
      </c>
      <c r="T27" s="87">
        <f t="shared" si="1"/>
        <v>436.30963449744297</v>
      </c>
      <c r="U27" s="87">
        <f t="shared" si="1"/>
        <v>436.30963449744297</v>
      </c>
      <c r="V27" s="87">
        <f t="shared" si="1"/>
        <v>436.30963449744297</v>
      </c>
      <c r="W27" s="87">
        <f t="shared" si="1"/>
        <v>436.30963449744297</v>
      </c>
      <c r="X27" s="87">
        <f t="shared" si="1"/>
        <v>436.30963449744297</v>
      </c>
      <c r="Y27" s="87">
        <f t="shared" si="1"/>
        <v>436.30963449744297</v>
      </c>
      <c r="Z27" s="87">
        <f t="shared" si="1"/>
        <v>436.30963449744297</v>
      </c>
      <c r="AA27" s="87">
        <f t="shared" si="1"/>
        <v>436.30963449744297</v>
      </c>
      <c r="AB27" s="87">
        <f t="shared" si="1"/>
        <v>436.30963449744297</v>
      </c>
      <c r="AC27" s="87" t="str">
        <f>IF('Input Data'!U89&gt;20,$E$6*AC24*$R$5/1000,"")</f>
        <v/>
      </c>
      <c r="AD27" s="87" t="str">
        <f>IF(AD19="Year 22",$E$6*AD24*$R$5/1000,"")</f>
        <v/>
      </c>
      <c r="AE27" s="87" t="str">
        <f>IF(AE19="Year 23",$E$6*AE24*$R$5/1000,"")</f>
        <v/>
      </c>
      <c r="AF27" s="87" t="str">
        <f>IF(AF19="Year 24",$E$6*AF24*$R$5/1000,"")</f>
        <v/>
      </c>
      <c r="AG27" s="87" t="str">
        <f>IF(AG19="Year 25",$E$6*AG24*$R$5/1000,"")</f>
        <v/>
      </c>
      <c r="AH27" s="87" t="str">
        <f>IF('Input Data'!U89&gt;25,$E$6*AH24*$R$5/1000,"")</f>
        <v/>
      </c>
      <c r="AI27" s="87" t="str">
        <f>IF(AI19="Year 27",$E$6*AI24*$R$5/1000,"")</f>
        <v/>
      </c>
      <c r="AJ27" s="87" t="str">
        <f>IF(AJ19="Year 28",$E$6*AJ24*$R$5/1000,"")</f>
        <v/>
      </c>
      <c r="AK27" s="87" t="str">
        <f>IF(AK19="Year 29",$E$6*AK24*$R$5/1000,"")</f>
        <v/>
      </c>
      <c r="AL27" s="87" t="str">
        <f>IF(AL19="Year 30",$E$6*AL24*$R$5/1000,"")</f>
        <v/>
      </c>
      <c r="AM27" s="87" t="str">
        <f>IF('Input Data'!U89&gt;30,$E$6*AM24*$R$5/1000,"")</f>
        <v/>
      </c>
    </row>
    <row r="28" spans="2:39" x14ac:dyDescent="0.2">
      <c r="B28" s="1" t="s">
        <v>19</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2:39" x14ac:dyDescent="0.2">
      <c r="B29" s="2" t="s">
        <v>189</v>
      </c>
      <c r="F29" s="3"/>
      <c r="G29" s="3"/>
      <c r="H29" s="3"/>
      <c r="I29" s="88">
        <f>$M$5*$E$5*I24/1000000</f>
        <v>193.01473750000002</v>
      </c>
      <c r="J29" s="88">
        <f t="shared" ref="J29:AB29" si="2">$M$5*$E$5*J24/1000000</f>
        <v>222.70931250000004</v>
      </c>
      <c r="K29" s="88">
        <f t="shared" si="2"/>
        <v>252.40388750000002</v>
      </c>
      <c r="L29" s="88">
        <f>$M$5*$E$5*L24/1000000</f>
        <v>252.40388750000002</v>
      </c>
      <c r="M29" s="88">
        <f t="shared" si="2"/>
        <v>252.40388750000002</v>
      </c>
      <c r="N29" s="88">
        <f t="shared" si="2"/>
        <v>252.40388750000002</v>
      </c>
      <c r="O29" s="88">
        <f t="shared" si="2"/>
        <v>252.40388750000002</v>
      </c>
      <c r="P29" s="88">
        <f t="shared" si="2"/>
        <v>252.40388750000002</v>
      </c>
      <c r="Q29" s="88">
        <f t="shared" si="2"/>
        <v>252.40388750000002</v>
      </c>
      <c r="R29" s="88">
        <f t="shared" si="2"/>
        <v>252.40388750000002</v>
      </c>
      <c r="S29" s="88">
        <f t="shared" si="2"/>
        <v>252.40388750000002</v>
      </c>
      <c r="T29" s="88">
        <f t="shared" si="2"/>
        <v>252.40388750000002</v>
      </c>
      <c r="U29" s="88">
        <f t="shared" si="2"/>
        <v>252.40388750000002</v>
      </c>
      <c r="V29" s="88">
        <f t="shared" si="2"/>
        <v>252.40388750000002</v>
      </c>
      <c r="W29" s="88">
        <f t="shared" si="2"/>
        <v>252.40388750000002</v>
      </c>
      <c r="X29" s="88">
        <f t="shared" si="2"/>
        <v>252.40388750000002</v>
      </c>
      <c r="Y29" s="88">
        <f t="shared" si="2"/>
        <v>252.40388750000002</v>
      </c>
      <c r="Z29" s="88">
        <f t="shared" si="2"/>
        <v>252.40388750000002</v>
      </c>
      <c r="AA29" s="88">
        <f t="shared" si="2"/>
        <v>252.40388750000002</v>
      </c>
      <c r="AB29" s="88">
        <f t="shared" si="2"/>
        <v>252.40388750000002</v>
      </c>
      <c r="AC29" s="88" t="str">
        <f>IF('Input Data'!U89&gt;20,$M$5*$E$5*AC24/1000000,"")</f>
        <v/>
      </c>
      <c r="AD29" s="88" t="str">
        <f>IF(AD19="Year 22",$M$5*$E$5*AD24/1000000,"")</f>
        <v/>
      </c>
      <c r="AE29" s="88" t="str">
        <f>IF(AE19="Year 23",$M$5*$E$5*AE24/1000000,"")</f>
        <v/>
      </c>
      <c r="AF29" s="88" t="str">
        <f>IF(AF19="Year 24",$M$5*$E$5*AF24/1000000,"")</f>
        <v/>
      </c>
      <c r="AG29" s="88" t="str">
        <f>IF(AG19="Year 25",$M$5*$E$5*AG24/1000000,"")</f>
        <v/>
      </c>
      <c r="AH29" s="88" t="str">
        <f>IF('Input Data'!U89&gt;25,$M$5*$E$5*AH24/1000000,"")</f>
        <v/>
      </c>
      <c r="AI29" s="88" t="str">
        <f>IF(AI19="Year 27",$M$5*$E$5*AI24/1000000,"")</f>
        <v/>
      </c>
      <c r="AJ29" s="88" t="str">
        <f>IF(AJ19="Year 28",$M$5*$E$5*AJ24/1000000,"")</f>
        <v/>
      </c>
      <c r="AK29" s="88" t="str">
        <f>IF(AK19="Year 29",$M$5*$E$5*AK24/1000000,"")</f>
        <v/>
      </c>
      <c r="AL29" s="88" t="str">
        <f>IF(AL19="Year 30",$M$5*$E$5*AL24/1000000,"")</f>
        <v/>
      </c>
      <c r="AM29" s="88" t="str">
        <f>IF('Input Data'!U89&gt;30,$M$5*$E$5*AM24/1000000,"")</f>
        <v/>
      </c>
    </row>
    <row r="30" spans="2:39" x14ac:dyDescent="0.2">
      <c r="B30" s="2" t="s">
        <v>20</v>
      </c>
      <c r="F30" s="3"/>
      <c r="G30" s="3"/>
      <c r="H30" s="3"/>
      <c r="I30" s="88">
        <f t="shared" ref="I30:AB30" si="3">$M$6</f>
        <v>25.5</v>
      </c>
      <c r="J30" s="88">
        <f t="shared" si="3"/>
        <v>25.5</v>
      </c>
      <c r="K30" s="88">
        <f t="shared" si="3"/>
        <v>25.5</v>
      </c>
      <c r="L30" s="88">
        <f t="shared" si="3"/>
        <v>25.5</v>
      </c>
      <c r="M30" s="88">
        <f t="shared" si="3"/>
        <v>25.5</v>
      </c>
      <c r="N30" s="88">
        <f t="shared" si="3"/>
        <v>25.5</v>
      </c>
      <c r="O30" s="88">
        <f t="shared" si="3"/>
        <v>25.5</v>
      </c>
      <c r="P30" s="88">
        <f t="shared" si="3"/>
        <v>25.5</v>
      </c>
      <c r="Q30" s="88">
        <f t="shared" si="3"/>
        <v>25.5</v>
      </c>
      <c r="R30" s="88">
        <f t="shared" si="3"/>
        <v>25.5</v>
      </c>
      <c r="S30" s="88">
        <f t="shared" si="3"/>
        <v>25.5</v>
      </c>
      <c r="T30" s="88">
        <f t="shared" si="3"/>
        <v>25.5</v>
      </c>
      <c r="U30" s="88">
        <f t="shared" si="3"/>
        <v>25.5</v>
      </c>
      <c r="V30" s="88">
        <f t="shared" si="3"/>
        <v>25.5</v>
      </c>
      <c r="W30" s="88">
        <f t="shared" si="3"/>
        <v>25.5</v>
      </c>
      <c r="X30" s="88">
        <f t="shared" si="3"/>
        <v>25.5</v>
      </c>
      <c r="Y30" s="88">
        <f t="shared" si="3"/>
        <v>25.5</v>
      </c>
      <c r="Z30" s="88">
        <f t="shared" si="3"/>
        <v>25.5</v>
      </c>
      <c r="AA30" s="88">
        <f t="shared" si="3"/>
        <v>25.5</v>
      </c>
      <c r="AB30" s="88">
        <f t="shared" si="3"/>
        <v>25.5</v>
      </c>
      <c r="AC30" s="88" t="str">
        <f>IF('Input Data'!U89&gt;20,$M$6,"")</f>
        <v/>
      </c>
      <c r="AD30" s="88" t="str">
        <f>IF(AD19="Year 22",$M$6,"")</f>
        <v/>
      </c>
      <c r="AE30" s="88" t="str">
        <f>IF(AE19="Year 23",$M$6,"")</f>
        <v/>
      </c>
      <c r="AF30" s="88" t="str">
        <f>IF(AF19="Year 24",$M$6,"")</f>
        <v/>
      </c>
      <c r="AG30" s="88" t="str">
        <f>IF(AG19="Year 25",$M$6,"")</f>
        <v/>
      </c>
      <c r="AH30" s="88" t="str">
        <f>IF('Input Data'!U89&gt;25,$M$6,"")</f>
        <v/>
      </c>
      <c r="AI30" s="88" t="str">
        <f>IF(AI19="Year 27",$M$6,"")</f>
        <v/>
      </c>
      <c r="AJ30" s="88" t="str">
        <f>IF(AJ19="Year 28",$M$6,"")</f>
        <v/>
      </c>
      <c r="AK30" s="88" t="str">
        <f>IF(AK19="Year 29",$M$6,"")</f>
        <v/>
      </c>
      <c r="AL30" s="88" t="str">
        <f>IF(AL19="Year 30",$M$6,"")</f>
        <v/>
      </c>
      <c r="AM30" s="88" t="str">
        <f>IF('Input Data'!U89&gt;30,$M$6,"")</f>
        <v/>
      </c>
    </row>
    <row r="31" spans="2:39" x14ac:dyDescent="0.2">
      <c r="B31" s="2" t="s">
        <v>21</v>
      </c>
      <c r="F31" s="3"/>
      <c r="G31" s="3"/>
      <c r="H31" s="3"/>
      <c r="I31" s="88">
        <f t="shared" ref="I31:AB31" si="4">$N$12</f>
        <v>3.9000000000000004</v>
      </c>
      <c r="J31" s="88">
        <f t="shared" si="4"/>
        <v>3.9000000000000004</v>
      </c>
      <c r="K31" s="88">
        <f t="shared" si="4"/>
        <v>3.9000000000000004</v>
      </c>
      <c r="L31" s="88">
        <f t="shared" si="4"/>
        <v>3.9000000000000004</v>
      </c>
      <c r="M31" s="88">
        <f t="shared" si="4"/>
        <v>3.9000000000000004</v>
      </c>
      <c r="N31" s="88">
        <f t="shared" si="4"/>
        <v>3.9000000000000004</v>
      </c>
      <c r="O31" s="88">
        <f t="shared" si="4"/>
        <v>3.9000000000000004</v>
      </c>
      <c r="P31" s="88">
        <f t="shared" si="4"/>
        <v>3.9000000000000004</v>
      </c>
      <c r="Q31" s="88">
        <f t="shared" si="4"/>
        <v>3.9000000000000004</v>
      </c>
      <c r="R31" s="88">
        <f t="shared" si="4"/>
        <v>3.9000000000000004</v>
      </c>
      <c r="S31" s="88">
        <f t="shared" si="4"/>
        <v>3.9000000000000004</v>
      </c>
      <c r="T31" s="88">
        <f t="shared" si="4"/>
        <v>3.9000000000000004</v>
      </c>
      <c r="U31" s="88">
        <f t="shared" si="4"/>
        <v>3.9000000000000004</v>
      </c>
      <c r="V31" s="88">
        <f t="shared" si="4"/>
        <v>3.9000000000000004</v>
      </c>
      <c r="W31" s="88">
        <f t="shared" si="4"/>
        <v>3.9000000000000004</v>
      </c>
      <c r="X31" s="88">
        <f t="shared" si="4"/>
        <v>3.9000000000000004</v>
      </c>
      <c r="Y31" s="88">
        <f t="shared" si="4"/>
        <v>3.9000000000000004</v>
      </c>
      <c r="Z31" s="88">
        <f t="shared" si="4"/>
        <v>3.9000000000000004</v>
      </c>
      <c r="AA31" s="88">
        <f t="shared" si="4"/>
        <v>3.9000000000000004</v>
      </c>
      <c r="AB31" s="88">
        <f t="shared" si="4"/>
        <v>3.9000000000000004</v>
      </c>
      <c r="AC31" s="88" t="str">
        <f>IF('Input Data'!U89&gt;20,$N$12,"")</f>
        <v/>
      </c>
      <c r="AD31" s="88" t="str">
        <f>IF(AD19="Year 22",$N$12,"")</f>
        <v/>
      </c>
      <c r="AE31" s="88" t="str">
        <f>IF(AE19="Year 23",$N$12,"")</f>
        <v/>
      </c>
      <c r="AF31" s="88" t="str">
        <f>IF(AF19="Year 24",$N$12,"")</f>
        <v/>
      </c>
      <c r="AG31" s="88" t="str">
        <f>IF(AG19="Year 25",$N$12,"")</f>
        <v/>
      </c>
      <c r="AH31" s="88" t="str">
        <f>IF('Input Data'!U89&gt;25,$N$12,"")</f>
        <v/>
      </c>
      <c r="AI31" s="88" t="str">
        <f>IF(AI19="Year 27",$N$12,"")</f>
        <v/>
      </c>
      <c r="AJ31" s="88" t="str">
        <f>IF(AJ19="Year 28",$N$12,"")</f>
        <v/>
      </c>
      <c r="AK31" s="88" t="str">
        <f>IF(AK19="Year 29",$N$12,"")</f>
        <v/>
      </c>
      <c r="AL31" s="88" t="str">
        <f>IF(AL19="Year 30",$N$12,"")</f>
        <v/>
      </c>
      <c r="AM31" s="88" t="str">
        <f>IF('Input Data'!U89&gt;30,$N$12,"")</f>
        <v/>
      </c>
    </row>
    <row r="32" spans="2:39" x14ac:dyDescent="0.2">
      <c r="B32" s="2" t="s">
        <v>22</v>
      </c>
      <c r="F32" s="3"/>
      <c r="G32" s="3"/>
      <c r="H32" s="3"/>
      <c r="I32" s="88">
        <f>I22*I23*'Input Data'!$U$74/0.85</f>
        <v>0.91764705882352948</v>
      </c>
      <c r="J32" s="88">
        <f>J22*J23*'Input Data'!$U$74/0.85</f>
        <v>1.0588235294117647</v>
      </c>
      <c r="K32" s="88">
        <f>K22*K23*'Input Data'!$U$74/0.85</f>
        <v>1.2</v>
      </c>
      <c r="L32" s="88">
        <f>L22*L23*'Input Data'!$U$74/0.85</f>
        <v>1.2</v>
      </c>
      <c r="M32" s="88">
        <f>M22*M23*'Input Data'!$U$74/0.85</f>
        <v>1.2</v>
      </c>
      <c r="N32" s="88">
        <f>N22*N23*'Input Data'!$U$74/0.85</f>
        <v>1.2</v>
      </c>
      <c r="O32" s="88">
        <f>O22*O23*'Input Data'!$U$74/0.85</f>
        <v>1.2</v>
      </c>
      <c r="P32" s="88">
        <f>P22*P23*'Input Data'!$U$74/0.85</f>
        <v>1.2</v>
      </c>
      <c r="Q32" s="88">
        <f>Q22*Q23*'Input Data'!$U$74/0.85</f>
        <v>1.2</v>
      </c>
      <c r="R32" s="88">
        <f>R22*R23*'Input Data'!$U$74/0.85</f>
        <v>1.2</v>
      </c>
      <c r="S32" s="88">
        <f>S22*S23*'Input Data'!$U$74/0.85</f>
        <v>1.2</v>
      </c>
      <c r="T32" s="88">
        <f>T22*T23*'Input Data'!$U$74/0.85</f>
        <v>1.2</v>
      </c>
      <c r="U32" s="88">
        <f>U22*U23*'Input Data'!$U$74/0.85</f>
        <v>1.2</v>
      </c>
      <c r="V32" s="88">
        <f>V22*V23*'Input Data'!$U$74/0.85</f>
        <v>1.2</v>
      </c>
      <c r="W32" s="88">
        <f>W22*W23*'Input Data'!$U$74/0.85</f>
        <v>1.2</v>
      </c>
      <c r="X32" s="88">
        <f>X22*X23*'Input Data'!$U$74/0.85</f>
        <v>1.2</v>
      </c>
      <c r="Y32" s="88">
        <f>Y22*Y23*'Input Data'!$U$74/0.85</f>
        <v>1.2</v>
      </c>
      <c r="Z32" s="88">
        <f>Z22*Z23*'Input Data'!$U$74/0.85</f>
        <v>1.2</v>
      </c>
      <c r="AA32" s="88">
        <f>AA22*AA23*'Input Data'!$U$74/0.85</f>
        <v>1.2</v>
      </c>
      <c r="AB32" s="88">
        <f>AB22*AB23*'Input Data'!$U$74/0.85</f>
        <v>1.2</v>
      </c>
      <c r="AC32" s="88" t="str">
        <f>IF('Input Data'!U89&gt;20,AC22*AC23*'Input Data'!$U$74/0.85,"")</f>
        <v/>
      </c>
      <c r="AD32" s="88" t="str">
        <f>IF(AD19="Year 22",AD22*AD23*'Input Data'!$U$74/0.85,"")</f>
        <v/>
      </c>
      <c r="AE32" s="88" t="str">
        <f>IF(AE19="Year 23",AE22*AE23*'Input Data'!$U$74/0.85,"")</f>
        <v/>
      </c>
      <c r="AF32" s="88" t="str">
        <f>IF(AF19="Year 24",AF22*AF23*'Input Data'!$U$74/0.85,"")</f>
        <v/>
      </c>
      <c r="AG32" s="88" t="str">
        <f>IF(AG19="Year 25",AG22*AG23*'Input Data'!$U$74/0.85,"")</f>
        <v/>
      </c>
      <c r="AH32" s="88" t="str">
        <f>IF('Input Data'!U89&gt;25,AH22*AH23*'Input Data'!$U$74/0.85,"")</f>
        <v/>
      </c>
      <c r="AI32" s="88" t="str">
        <f>IF(AI19="Year 27",AI22*AI23*'Input Data'!$U$74/0.85,"")</f>
        <v/>
      </c>
      <c r="AJ32" s="88" t="str">
        <f>IF(AJ19="Year 28",AJ22*AJ23*'Input Data'!$U$74/0.85,"")</f>
        <v/>
      </c>
      <c r="AK32" s="88" t="str">
        <f>IF(AK19="Year 29",AK22*AK23*'Input Data'!$U$74/0.85,"")</f>
        <v/>
      </c>
      <c r="AL32" s="88" t="str">
        <f>IF(AL19="Year 30",AL22*AL23*'Input Data'!$U$74/0.85,"")</f>
        <v/>
      </c>
      <c r="AM32" s="88" t="str">
        <f>IF('Input Data'!U89&gt;30,AM22*AM23*'Input Data'!$U$74/0.85,"")</f>
        <v/>
      </c>
    </row>
    <row r="33" spans="2:40" x14ac:dyDescent="0.2">
      <c r="B33" s="2" t="s">
        <v>124</v>
      </c>
      <c r="F33" s="3"/>
      <c r="G33" s="3"/>
      <c r="H33" s="3"/>
      <c r="I33" s="88">
        <f>I5*R10</f>
        <v>14.627999999999998</v>
      </c>
      <c r="J33" s="88">
        <f>I5*R10</f>
        <v>14.627999999999998</v>
      </c>
      <c r="K33" s="88">
        <f>I5*R10</f>
        <v>14.627999999999998</v>
      </c>
      <c r="L33" s="88">
        <f>I5*R10</f>
        <v>14.627999999999998</v>
      </c>
      <c r="M33" s="88">
        <f>I5*R10</f>
        <v>14.627999999999998</v>
      </c>
      <c r="N33" s="88">
        <f>I5*R10</f>
        <v>14.627999999999998</v>
      </c>
      <c r="O33" s="88">
        <f>I5*R10</f>
        <v>14.627999999999998</v>
      </c>
      <c r="P33" s="88">
        <f>I5*R10</f>
        <v>14.627999999999998</v>
      </c>
      <c r="Q33" s="88">
        <f>I5*R10</f>
        <v>14.627999999999998</v>
      </c>
      <c r="R33" s="88">
        <f>I5*R10</f>
        <v>14.627999999999998</v>
      </c>
      <c r="S33" s="88">
        <f>I5*R10</f>
        <v>14.627999999999998</v>
      </c>
      <c r="T33" s="88">
        <f>I5*R10</f>
        <v>14.627999999999998</v>
      </c>
      <c r="U33" s="88">
        <f>I5*R10</f>
        <v>14.627999999999998</v>
      </c>
      <c r="V33" s="88">
        <f>I5*R10</f>
        <v>14.627999999999998</v>
      </c>
      <c r="W33" s="88">
        <f>I5*R10</f>
        <v>14.627999999999998</v>
      </c>
      <c r="X33" s="88">
        <f>I5*R10</f>
        <v>14.627999999999998</v>
      </c>
      <c r="Y33" s="88">
        <f>I5*R10</f>
        <v>14.627999999999998</v>
      </c>
      <c r="Z33" s="88">
        <f>I5*R10</f>
        <v>14.627999999999998</v>
      </c>
      <c r="AA33" s="88">
        <f>I5*R10</f>
        <v>14.627999999999998</v>
      </c>
      <c r="AB33" s="88">
        <f>I5*R10</f>
        <v>14.627999999999998</v>
      </c>
      <c r="AC33" s="88" t="str">
        <f>IF('Input Data'!U89&gt;20,I5*R10,"")</f>
        <v/>
      </c>
      <c r="AD33" s="88" t="str">
        <f>IF(AD19="Year 22",R10*I5,"")</f>
        <v/>
      </c>
      <c r="AE33" s="88" t="str">
        <f>IF(AE19="Year 23",I5*R10,"")</f>
        <v/>
      </c>
      <c r="AF33" s="88" t="str">
        <f>IF(AF19="Year 24",I5*R10,"")</f>
        <v/>
      </c>
      <c r="AG33" s="88" t="str">
        <f>IF(AG19="Year 25",I5*R10,"")</f>
        <v/>
      </c>
      <c r="AH33" s="88" t="str">
        <f>IF('Input Data'!U89&gt;25,I5*R10,"")</f>
        <v/>
      </c>
      <c r="AI33" s="88" t="str">
        <f>IF(AI19="Year 27",I5*R10,"")</f>
        <v/>
      </c>
      <c r="AJ33" s="88" t="str">
        <f>IF(AJ19="Year 28",I5*R10,"")</f>
        <v/>
      </c>
      <c r="AK33" s="88" t="str">
        <f>IF(AK19="Year 29",I5*R10,"")</f>
        <v/>
      </c>
      <c r="AL33" s="88" t="str">
        <f>IF(AL19="Year 30",I5*R10,"")</f>
        <v/>
      </c>
      <c r="AM33" s="88" t="str">
        <f>IF('Input Data'!U89&gt;30,I5*R10,"")</f>
        <v/>
      </c>
    </row>
    <row r="34" spans="2:40" ht="15.75" x14ac:dyDescent="0.3">
      <c r="B34" s="2" t="s">
        <v>197</v>
      </c>
      <c r="F34" s="3"/>
      <c r="G34" s="3"/>
      <c r="H34" s="3"/>
      <c r="I34" s="88">
        <f>'Input Data'!$U$33*'Input Data'!$U$77*I24/1000000</f>
        <v>0</v>
      </c>
      <c r="J34" s="88">
        <f>'Input Data'!$U$33*'Input Data'!$U$77*J24/1000000</f>
        <v>0</v>
      </c>
      <c r="K34" s="88">
        <f>'Input Data'!$U$33*'Input Data'!$U$77*K24/1000000</f>
        <v>0</v>
      </c>
      <c r="L34" s="88">
        <f>'Input Data'!$U$33*'Input Data'!$U$77*L24/1000000</f>
        <v>0</v>
      </c>
      <c r="M34" s="88">
        <f>'Input Data'!$U$33*'Input Data'!$U$77*M24/1000000</f>
        <v>0</v>
      </c>
      <c r="N34" s="88">
        <f>'Input Data'!$U$33*'Input Data'!$U$77*N24/1000000</f>
        <v>0</v>
      </c>
      <c r="O34" s="88">
        <f>'Input Data'!$U$33*'Input Data'!$U$77*O24/1000000</f>
        <v>0</v>
      </c>
      <c r="P34" s="88">
        <f>'Input Data'!$U$33*'Input Data'!$U$77*P24/1000000</f>
        <v>0</v>
      </c>
      <c r="Q34" s="88">
        <f>'Input Data'!$U$33*'Input Data'!$U$77*Q24/1000000</f>
        <v>0</v>
      </c>
      <c r="R34" s="88">
        <f>'Input Data'!$U$33*'Input Data'!$U$77*R24/1000000</f>
        <v>0</v>
      </c>
      <c r="S34" s="88">
        <f>'Input Data'!$U$33*'Input Data'!$U$77*S24/1000000</f>
        <v>0</v>
      </c>
      <c r="T34" s="88">
        <f>'Input Data'!$U$33*'Input Data'!$U$77*T24/1000000</f>
        <v>0</v>
      </c>
      <c r="U34" s="88">
        <f>'Input Data'!$U$33*'Input Data'!$U$77*U24/1000000</f>
        <v>0</v>
      </c>
      <c r="V34" s="88">
        <f>'Input Data'!$U$33*'Input Data'!$U$77*V24/1000000</f>
        <v>0</v>
      </c>
      <c r="W34" s="88">
        <f>'Input Data'!$U$33*'Input Data'!$U$77*W24/1000000</f>
        <v>0</v>
      </c>
      <c r="X34" s="88">
        <f>'Input Data'!$U$33*'Input Data'!$U$77*X24/1000000</f>
        <v>0</v>
      </c>
      <c r="Y34" s="88">
        <f>'Input Data'!$U$33*'Input Data'!$U$77*Y24/1000000</f>
        <v>0</v>
      </c>
      <c r="Z34" s="88">
        <f>'Input Data'!$U$33*'Input Data'!$U$77*Z24/1000000</f>
        <v>0</v>
      </c>
      <c r="AA34" s="88">
        <f>'Input Data'!$U$33*'Input Data'!$U$77*AA24/1000000</f>
        <v>0</v>
      </c>
      <c r="AB34" s="88">
        <f>'Input Data'!$U$33*'Input Data'!$U$77*AB24/1000000</f>
        <v>0</v>
      </c>
      <c r="AC34" s="88" t="str">
        <f>IF('Input Data'!U89&gt;20,'Input Data'!$U$33*'Input Data'!$U$77*AC24/1000000,"")</f>
        <v/>
      </c>
      <c r="AD34" s="88" t="str">
        <f>IF(AD19="Year 22",'Input Data'!$U$33*'Input Data'!$U$77*AD24/1000000,"")</f>
        <v/>
      </c>
      <c r="AE34" s="88" t="str">
        <f>IF(AE19="Year 23",'Input Data'!$U$33*'Input Data'!$U$77*AE24/1000000,"")</f>
        <v/>
      </c>
      <c r="AF34" s="88" t="str">
        <f>IF(AF19="Year 24",'Input Data'!$U$33*'Input Data'!$U$77*AF24/1000000,"")</f>
        <v/>
      </c>
      <c r="AG34" s="88" t="str">
        <f>IF(AG19="Year 25",'Input Data'!$U$33*'Input Data'!$U$77*AG24/1000000,"")</f>
        <v/>
      </c>
      <c r="AH34" s="88" t="str">
        <f>IF('Input Data'!U89&gt;25,'Input Data'!$U$33*'Input Data'!$U$77*AH24/1000000,"")</f>
        <v/>
      </c>
      <c r="AI34" s="88" t="str">
        <f>IF(AI19="Year 27",'Input Data'!$U$33*'Input Data'!$U$77*AI24/1000000,"")</f>
        <v/>
      </c>
      <c r="AJ34" s="88" t="str">
        <f>IF(AJ19="Year 28",'Input Data'!$U$33*'Input Data'!$U$77*AJ24/1000000,"")</f>
        <v/>
      </c>
      <c r="AK34" s="88" t="str">
        <f>IF(AK19="Year 29",'Input Data'!$U$33*'Input Data'!$U$77*AK24/1000000,"")</f>
        <v/>
      </c>
      <c r="AL34" s="88" t="str">
        <f>IF(AL19="Year 30",'Input Data'!$U$33*'Input Data'!$U$77*AL24/1000000,"")</f>
        <v/>
      </c>
      <c r="AM34" s="88" t="str">
        <f>IF('Input Data'!U89&gt;30,'Input Data'!$U$33*'Input Data'!$U$77*AM24/1000000,"")</f>
        <v/>
      </c>
    </row>
    <row r="35" spans="2:40" x14ac:dyDescent="0.2">
      <c r="B35" s="1" t="s">
        <v>132</v>
      </c>
      <c r="F35" s="88">
        <f>I10*F25</f>
        <v>255.98999999999995</v>
      </c>
      <c r="G35" s="88">
        <f>I10*G25</f>
        <v>460.78199999999993</v>
      </c>
      <c r="H35" s="88">
        <f>H25*I10</f>
        <v>307.18799999999993</v>
      </c>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2:40" ht="13.5" thickBot="1" x14ac:dyDescent="0.25">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40" ht="13.5" thickBot="1" x14ac:dyDescent="0.25">
      <c r="B37" s="90" t="s">
        <v>129</v>
      </c>
      <c r="C37" s="91"/>
      <c r="D37" s="91"/>
      <c r="E37" s="91"/>
      <c r="F37" s="92">
        <f t="shared" ref="F37:AB37" si="5">SUM(F27:F27)-SUM(F29:F34)-F35</f>
        <v>-255.98999999999995</v>
      </c>
      <c r="G37" s="92">
        <f t="shared" si="5"/>
        <v>-460.78199999999993</v>
      </c>
      <c r="H37" s="92">
        <f t="shared" si="5"/>
        <v>-307.18799999999993</v>
      </c>
      <c r="I37" s="92">
        <f t="shared" si="5"/>
        <v>95.688159468632875</v>
      </c>
      <c r="J37" s="92">
        <f t="shared" si="5"/>
        <v>117.18295323303789</v>
      </c>
      <c r="K37" s="92">
        <f t="shared" si="5"/>
        <v>138.67774699744302</v>
      </c>
      <c r="L37" s="92">
        <f t="shared" si="5"/>
        <v>138.67774699744302</v>
      </c>
      <c r="M37" s="92">
        <f t="shared" si="5"/>
        <v>138.67774699744302</v>
      </c>
      <c r="N37" s="92">
        <f t="shared" si="5"/>
        <v>138.67774699744302</v>
      </c>
      <c r="O37" s="92">
        <f t="shared" si="5"/>
        <v>138.67774699744302</v>
      </c>
      <c r="P37" s="92">
        <f t="shared" si="5"/>
        <v>138.67774699744302</v>
      </c>
      <c r="Q37" s="92">
        <f t="shared" si="5"/>
        <v>138.67774699744302</v>
      </c>
      <c r="R37" s="92">
        <f t="shared" si="5"/>
        <v>138.67774699744302</v>
      </c>
      <c r="S37" s="92">
        <f t="shared" si="5"/>
        <v>138.67774699744302</v>
      </c>
      <c r="T37" s="92">
        <f t="shared" si="5"/>
        <v>138.67774699744302</v>
      </c>
      <c r="U37" s="92">
        <f t="shared" si="5"/>
        <v>138.67774699744302</v>
      </c>
      <c r="V37" s="92">
        <f t="shared" si="5"/>
        <v>138.67774699744302</v>
      </c>
      <c r="W37" s="92">
        <f t="shared" si="5"/>
        <v>138.67774699744302</v>
      </c>
      <c r="X37" s="92">
        <f t="shared" si="5"/>
        <v>138.67774699744302</v>
      </c>
      <c r="Y37" s="92">
        <f t="shared" si="5"/>
        <v>138.67774699744302</v>
      </c>
      <c r="Z37" s="92">
        <f t="shared" si="5"/>
        <v>138.67774699744302</v>
      </c>
      <c r="AA37" s="92">
        <f t="shared" si="5"/>
        <v>138.67774699744302</v>
      </c>
      <c r="AB37" s="92">
        <f t="shared" si="5"/>
        <v>138.67774699744302</v>
      </c>
      <c r="AC37" s="92">
        <f>IF(AC19="Year 21",SUM(AC27:AC27)-SUM(AC29:AC34)-AC35,"")</f>
        <v>0</v>
      </c>
      <c r="AD37" s="92" t="str">
        <f>IF(AD19="Year 22",SUM(AD27:AD27)-SUM(AD29:AD34)-AD35,"")</f>
        <v/>
      </c>
      <c r="AE37" s="92" t="str">
        <f>IF(AE19="Year 23",SUM(AE27:AE27)-SUM(AE29:AE34)-AE35,"")</f>
        <v/>
      </c>
      <c r="AF37" s="92" t="str">
        <f>IF(AF19="Year 24",SUM(AF27:AF27)-SUM(AF29:AF34)-AF35,"")</f>
        <v/>
      </c>
      <c r="AG37" s="92" t="str">
        <f>IF(AG19="Year 25",SUM(AG27:AG27)-SUM(AG29:AG34)-AG35,"")</f>
        <v/>
      </c>
      <c r="AH37" s="92" t="str">
        <f>IF(AH19="Year 26",SUM(AH27:AH27)-SUM(AH29:AH34)-AH35,"")</f>
        <v/>
      </c>
      <c r="AI37" s="92" t="str">
        <f>IF(AI19="Year 27",SUM(AI27:AI27)-SUM(AI29:AI34)-AI35,"")</f>
        <v/>
      </c>
      <c r="AJ37" s="92" t="str">
        <f>IF(AJ19="Year 28",SUM(AJ27:AJ27)-SUM(AJ29:AJ34)-AJ35,"")</f>
        <v/>
      </c>
      <c r="AK37" s="92" t="str">
        <f>IF(AK19="Year 29",SUM(AK27:AK27)-SUM(AK29:AK34)-AK35,"")</f>
        <v/>
      </c>
      <c r="AL37" s="92" t="str">
        <f>IF(AL19="Year 30",SUM(AL27:AL27)-SUM(AL29:AL34)-AL35,"")</f>
        <v/>
      </c>
      <c r="AM37" s="92" t="str">
        <f>IF(AM19="Year 31",SUM(AM27:AM27)-SUM(AM29:AM34)-AM35,"")</f>
        <v/>
      </c>
    </row>
    <row r="38" spans="2:40" ht="13.5" thickBot="1" x14ac:dyDescent="0.25">
      <c r="B38" s="90" t="s">
        <v>130</v>
      </c>
      <c r="C38" s="91"/>
      <c r="D38" s="91"/>
      <c r="E38" s="91"/>
      <c r="F38" s="93">
        <f>F37</f>
        <v>-255.98999999999995</v>
      </c>
      <c r="G38" s="93">
        <f>-1*(ABS(G37)+ABS(F38))</f>
        <v>-716.77199999999993</v>
      </c>
      <c r="H38" s="93">
        <f>-1*(ABS(H37)+ABS(G38))</f>
        <v>-1023.9599999999998</v>
      </c>
      <c r="I38" s="93">
        <f t="shared" ref="I38:AB38" si="6">H38+I37</f>
        <v>-928.27184053136693</v>
      </c>
      <c r="J38" s="93">
        <f t="shared" si="6"/>
        <v>-811.08888729832904</v>
      </c>
      <c r="K38" s="93">
        <f t="shared" si="6"/>
        <v>-672.41114030088602</v>
      </c>
      <c r="L38" s="93">
        <f t="shared" si="6"/>
        <v>-533.73339330344299</v>
      </c>
      <c r="M38" s="93">
        <f t="shared" si="6"/>
        <v>-395.05564630599997</v>
      </c>
      <c r="N38" s="93">
        <f t="shared" si="6"/>
        <v>-256.37789930855695</v>
      </c>
      <c r="O38" s="93">
        <f t="shared" si="6"/>
        <v>-117.70015231111392</v>
      </c>
      <c r="P38" s="93">
        <f t="shared" si="6"/>
        <v>20.977594686329098</v>
      </c>
      <c r="Q38" s="93">
        <f t="shared" si="6"/>
        <v>159.65534168377212</v>
      </c>
      <c r="R38" s="93">
        <f t="shared" si="6"/>
        <v>298.33308868121514</v>
      </c>
      <c r="S38" s="93">
        <f t="shared" si="6"/>
        <v>437.01083567865817</v>
      </c>
      <c r="T38" s="93">
        <f t="shared" si="6"/>
        <v>575.68858267610119</v>
      </c>
      <c r="U38" s="93">
        <f t="shared" si="6"/>
        <v>714.36632967354421</v>
      </c>
      <c r="V38" s="93">
        <f t="shared" si="6"/>
        <v>853.04407667098724</v>
      </c>
      <c r="W38" s="93">
        <f t="shared" si="6"/>
        <v>991.72182366843026</v>
      </c>
      <c r="X38" s="93">
        <f t="shared" si="6"/>
        <v>1130.3995706658734</v>
      </c>
      <c r="Y38" s="93">
        <f t="shared" si="6"/>
        <v>1269.0773176633165</v>
      </c>
      <c r="Z38" s="93">
        <f t="shared" si="6"/>
        <v>1407.7550646607597</v>
      </c>
      <c r="AA38" s="93">
        <f t="shared" si="6"/>
        <v>1546.4328116582028</v>
      </c>
      <c r="AB38" s="93">
        <f t="shared" si="6"/>
        <v>1685.1105586556459</v>
      </c>
      <c r="AC38" s="93">
        <f>IF(AC19="Year 21",AB38+AC37,"")</f>
        <v>1685.1105586556459</v>
      </c>
      <c r="AD38" s="93" t="str">
        <f>IF(AD19="Year 22",AC38+AD37,"")</f>
        <v/>
      </c>
      <c r="AE38" s="93" t="str">
        <f>IF(AE19="Year 23",AD38+AE37,"")</f>
        <v/>
      </c>
      <c r="AF38" s="93" t="str">
        <f>IF(AF19="Year 24",AE38+AF37,"")</f>
        <v/>
      </c>
      <c r="AG38" s="93" t="str">
        <f>IF(AG19="Year 25",AF38+AG37,"")</f>
        <v/>
      </c>
      <c r="AH38" s="93" t="str">
        <f>IF(AH19="Year 26",AG38+AH37,"")</f>
        <v/>
      </c>
      <c r="AI38" s="93" t="str">
        <f>IF(AI19="Year 27",AH38+AI37,"")</f>
        <v/>
      </c>
      <c r="AJ38" s="93" t="str">
        <f>IF(AJ19="Year 28",AI38+AJ37,"")</f>
        <v/>
      </c>
      <c r="AK38" s="93" t="str">
        <f>IF(AK19="Year 29",AJ38+AK37,"")</f>
        <v/>
      </c>
      <c r="AL38" s="93" t="str">
        <f>IF(AL19="Year 30",AK38+AL37,"")</f>
        <v/>
      </c>
      <c r="AM38" s="93" t="str">
        <f>IF(AM19="Year 31",AL38+AM37,"")</f>
        <v/>
      </c>
    </row>
    <row r="39" spans="2:40" ht="13.5" thickBot="1" x14ac:dyDescent="0.25">
      <c r="B39" s="90"/>
      <c r="C39" s="91"/>
      <c r="D39" s="91"/>
      <c r="E39" s="91"/>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1"/>
      <c r="AJ39" s="91"/>
      <c r="AK39" s="91"/>
      <c r="AL39" s="91"/>
      <c r="AM39" s="91"/>
    </row>
    <row r="40" spans="2:40" ht="13.5" thickBot="1" x14ac:dyDescent="0.25">
      <c r="B40" s="90" t="s">
        <v>128</v>
      </c>
      <c r="C40" s="91"/>
      <c r="D40" s="91"/>
      <c r="E40" s="91"/>
      <c r="F40" s="93">
        <f>F38/(1+R9)</f>
        <v>-232.71818181818176</v>
      </c>
      <c r="G40" s="93">
        <f>G37/(1+R9)^2</f>
        <v>-380.81157024793379</v>
      </c>
      <c r="H40" s="93">
        <f>H37/(1+R9)^3</f>
        <v>-230.79489105935374</v>
      </c>
      <c r="I40" s="93">
        <f>I37/(1+R9)^4</f>
        <v>65.356300436194829</v>
      </c>
      <c r="J40" s="93">
        <f>J37/(1+R9)^5</f>
        <v>72.76139436143697</v>
      </c>
      <c r="K40" s="93">
        <f>K37/(1+R9)^6</f>
        <v>78.279972858650055</v>
      </c>
      <c r="L40" s="93">
        <f>L37/(1+R9)^7</f>
        <v>71.163611689681858</v>
      </c>
      <c r="M40" s="93">
        <f>M37/(1+R9)^8</f>
        <v>64.694192445165342</v>
      </c>
      <c r="N40" s="93">
        <f>N37/(1+R9)^9</f>
        <v>58.812902222877568</v>
      </c>
      <c r="O40" s="93">
        <f>O37/(1+R9)^10</f>
        <v>53.466274748070511</v>
      </c>
      <c r="P40" s="93">
        <f>P37/(1+R9)^11</f>
        <v>48.605704316427733</v>
      </c>
      <c r="Q40" s="93">
        <f>Q37/(1+R9)^12</f>
        <v>44.187003924025213</v>
      </c>
      <c r="R40" s="93">
        <f>R37/(1+R9)^13</f>
        <v>40.170003567295645</v>
      </c>
      <c r="S40" s="93">
        <f>S37/(1+R9)^14</f>
        <v>36.518185061177853</v>
      </c>
      <c r="T40" s="93">
        <f>T37/(1+R9)^15</f>
        <v>33.198350055616231</v>
      </c>
      <c r="U40" s="93">
        <f>U37/(1+R9)^16</f>
        <v>30.18031823237839</v>
      </c>
      <c r="V40" s="93">
        <f>V37/(1+R9)^17</f>
        <v>27.43665293852581</v>
      </c>
      <c r="W40" s="93">
        <f>W37/(1+R9)^18</f>
        <v>24.942411762296189</v>
      </c>
      <c r="X40" s="93">
        <f>X37/(1+R9)^19</f>
        <v>22.674919783905622</v>
      </c>
      <c r="Y40" s="93">
        <f>Y37/(1+R9)^20</f>
        <v>20.613563439914202</v>
      </c>
      <c r="Z40" s="93">
        <f>Z37/(1+R9)^21</f>
        <v>18.739603127194727</v>
      </c>
      <c r="AA40" s="93">
        <f>AA37/(1+R9)^22</f>
        <v>17.036002842904296</v>
      </c>
      <c r="AB40" s="93">
        <f>AB37/(1+R9)^23</f>
        <v>15.487275311731176</v>
      </c>
      <c r="AC40" s="93">
        <f>IF(AC19="Year 21",AC37/(1+R9)^24,"")</f>
        <v>0</v>
      </c>
      <c r="AD40" s="93" t="str">
        <f>IF(AD19="Year 22",AD37/(1+R9)^25,"")</f>
        <v/>
      </c>
      <c r="AE40" s="93" t="str">
        <f>IF(AE19="Year 23",AE37/(1+R9)^26,"")</f>
        <v/>
      </c>
      <c r="AF40" s="93" t="str">
        <f>IF(AF19="Year 24",AF37/(1+R9)^27,"")</f>
        <v/>
      </c>
      <c r="AG40" s="93" t="str">
        <f>IF(AG19="Year 25",AG37/(1+R9)^28,"")</f>
        <v/>
      </c>
      <c r="AH40" s="93" t="str">
        <f>IF(AH19="Year 26",AH37/(1+R9)^29,"")</f>
        <v/>
      </c>
      <c r="AI40" s="93" t="str">
        <f>IF(AI19="Year 27",AI37/(1+R9)^30,"")</f>
        <v/>
      </c>
      <c r="AJ40" s="93" t="str">
        <f>IF(AJ19="Year 28",AJ37/(1+R9)^31,"")</f>
        <v/>
      </c>
      <c r="AK40" s="93" t="str">
        <f>IF(AK19="Year 29",AK37/(1+R9)^32,"")</f>
        <v/>
      </c>
      <c r="AL40" s="93" t="str">
        <f>IF(AL19="Year 30",AL37/(1+R9)^33,"")</f>
        <v/>
      </c>
      <c r="AM40" s="93" t="str">
        <f>IF(AM19="Year 31",AM37/(1+R9)^34,"")</f>
        <v/>
      </c>
    </row>
    <row r="41" spans="2:40" ht="13.5" thickBot="1" x14ac:dyDescent="0.25">
      <c r="B41" s="90" t="s">
        <v>131</v>
      </c>
      <c r="C41" s="91"/>
      <c r="D41" s="91"/>
      <c r="E41" s="91"/>
      <c r="F41" s="93">
        <f>F40</f>
        <v>-232.71818181818176</v>
      </c>
      <c r="G41" s="93">
        <f t="shared" ref="G41:AB41" si="7">SUM(G40+F41)</f>
        <v>-613.52975206611552</v>
      </c>
      <c r="H41" s="93">
        <f t="shared" si="7"/>
        <v>-844.32464312546927</v>
      </c>
      <c r="I41" s="93">
        <f t="shared" si="7"/>
        <v>-778.96834268927444</v>
      </c>
      <c r="J41" s="93">
        <f t="shared" si="7"/>
        <v>-706.20694832783749</v>
      </c>
      <c r="K41" s="93">
        <f t="shared" si="7"/>
        <v>-627.92697546918748</v>
      </c>
      <c r="L41" s="93">
        <f t="shared" si="7"/>
        <v>-556.76336377950565</v>
      </c>
      <c r="M41" s="93">
        <f t="shared" si="7"/>
        <v>-492.0691713343403</v>
      </c>
      <c r="N41" s="93">
        <f t="shared" si="7"/>
        <v>-433.25626911146276</v>
      </c>
      <c r="O41" s="93">
        <f t="shared" si="7"/>
        <v>-379.78999436339222</v>
      </c>
      <c r="P41" s="93">
        <f t="shared" si="7"/>
        <v>-331.18429004696452</v>
      </c>
      <c r="Q41" s="93">
        <f t="shared" si="7"/>
        <v>-286.99728612293933</v>
      </c>
      <c r="R41" s="93">
        <f t="shared" si="7"/>
        <v>-246.82728255564368</v>
      </c>
      <c r="S41" s="93">
        <f t="shared" si="7"/>
        <v>-210.30909749446582</v>
      </c>
      <c r="T41" s="93">
        <f t="shared" si="7"/>
        <v>-177.11074743884959</v>
      </c>
      <c r="U41" s="93">
        <f t="shared" si="7"/>
        <v>-146.93042920647119</v>
      </c>
      <c r="V41" s="93">
        <f t="shared" si="7"/>
        <v>-119.49377626794538</v>
      </c>
      <c r="W41" s="93">
        <f t="shared" si="7"/>
        <v>-94.55136450564919</v>
      </c>
      <c r="X41" s="93">
        <f t="shared" si="7"/>
        <v>-71.876444721743567</v>
      </c>
      <c r="Y41" s="93">
        <f t="shared" si="7"/>
        <v>-51.262881281829365</v>
      </c>
      <c r="Z41" s="93">
        <f t="shared" si="7"/>
        <v>-32.523278154634639</v>
      </c>
      <c r="AA41" s="93">
        <f t="shared" si="7"/>
        <v>-15.487275311730343</v>
      </c>
      <c r="AB41" s="93">
        <f t="shared" si="7"/>
        <v>8.3311135767871747E-13</v>
      </c>
      <c r="AC41" s="93">
        <f>IF(AC19="Year 21",SUM(AC40+AB41),"")</f>
        <v>8.3311135767871747E-13</v>
      </c>
      <c r="AD41" s="93" t="str">
        <f>IF(AD19="Year 22",SUM(AD40+AC41),"")</f>
        <v/>
      </c>
      <c r="AE41" s="93" t="str">
        <f>IF(AE19="Year 23",SUM(AE40+AD41),"")</f>
        <v/>
      </c>
      <c r="AF41" s="93" t="str">
        <f>IF(AF19="Year 24",SUM(AF40+AE41),"")</f>
        <v/>
      </c>
      <c r="AG41" s="93" t="str">
        <f>IF(AG19="Year 25",SUM(AG40+AF41),"")</f>
        <v/>
      </c>
      <c r="AH41" s="93" t="str">
        <f>IF(AH19="Year 26",SUM(AH40+AG41),"")</f>
        <v/>
      </c>
      <c r="AI41" s="93" t="str">
        <f>IF(AI19="Year 27",SUM(AI40+AH41),"")</f>
        <v/>
      </c>
      <c r="AJ41" s="93" t="str">
        <f>IF(AJ19="Year 28",SUM(AJ40+AI41),"")</f>
        <v/>
      </c>
      <c r="AK41" s="93" t="str">
        <f>IF(AK19="Year 29",SUM(AK40+AJ41),"")</f>
        <v/>
      </c>
      <c r="AL41" s="93" t="str">
        <f>IF(AL19="Year 30",SUM(AL40+AK41),"")</f>
        <v/>
      </c>
      <c r="AM41" s="93" t="str">
        <f>IF(AM19="Year 31",SUM(AM40+AL41),"")</f>
        <v/>
      </c>
    </row>
    <row r="42" spans="2:40"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40" s="229" customFormat="1" x14ac:dyDescent="0.2">
      <c r="F43" s="230"/>
      <c r="G43" s="230"/>
      <c r="H43" s="230"/>
      <c r="I43" s="230"/>
      <c r="J43" s="230"/>
      <c r="K43" s="230"/>
      <c r="L43" s="230"/>
      <c r="M43" s="230"/>
      <c r="N43" s="230"/>
      <c r="O43" s="230"/>
      <c r="P43" s="230"/>
      <c r="Q43" s="230"/>
      <c r="R43" s="230"/>
      <c r="S43" s="230"/>
      <c r="T43" s="230"/>
      <c r="U43" s="230"/>
      <c r="V43" s="230"/>
      <c r="W43" s="230"/>
      <c r="X43" s="230"/>
      <c r="Y43" s="230"/>
      <c r="Z43" s="230"/>
      <c r="AA43" s="230" t="s">
        <v>203</v>
      </c>
      <c r="AB43" s="230"/>
      <c r="AC43" s="231">
        <f>SUM(AC40+AB41)</f>
        <v>8.3311135767871747E-13</v>
      </c>
      <c r="AD43" s="231">
        <f>IF(AD40="",AC41,SUM(AD40+AC41))</f>
        <v>8.3311135767871747E-13</v>
      </c>
      <c r="AE43" s="231">
        <f>IF(AE40="",AD43,SUM(AE40+AD43))</f>
        <v>8.3311135767871747E-13</v>
      </c>
      <c r="AF43" s="231">
        <f>IF(AF40="",AE43,SUM(AF40+AE43))</f>
        <v>8.3311135767871747E-13</v>
      </c>
      <c r="AG43" s="231">
        <f t="shared" ref="AG43:AN43" si="8">IF(AG40="",AF43,SUM(AG40+AF43))</f>
        <v>8.3311135767871747E-13</v>
      </c>
      <c r="AH43" s="231">
        <f t="shared" si="8"/>
        <v>8.3311135767871747E-13</v>
      </c>
      <c r="AI43" s="231">
        <f t="shared" si="8"/>
        <v>8.3311135767871747E-13</v>
      </c>
      <c r="AJ43" s="231">
        <f t="shared" si="8"/>
        <v>8.3311135767871747E-13</v>
      </c>
      <c r="AK43" s="231">
        <f t="shared" si="8"/>
        <v>8.3311135767871747E-13</v>
      </c>
      <c r="AL43" s="231">
        <f t="shared" si="8"/>
        <v>8.3311135767871747E-13</v>
      </c>
      <c r="AM43" s="231">
        <f t="shared" si="8"/>
        <v>8.3311135767871747E-13</v>
      </c>
      <c r="AN43" s="231">
        <f t="shared" si="8"/>
        <v>8.3311135767871747E-13</v>
      </c>
    </row>
    <row r="44" spans="2:40" x14ac:dyDescent="0.2">
      <c r="F44" s="82"/>
      <c r="G44" s="82"/>
      <c r="H44" s="87"/>
    </row>
    <row r="45" spans="2:40" x14ac:dyDescent="0.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row>
    <row r="46" spans="2:40" x14ac:dyDescent="0.2">
      <c r="I46" s="82"/>
    </row>
  </sheetData>
  <sheetProtection password="C9BE" sheet="1" objects="1" scenarios="1" selectLockedCells="1" selectUnlockedCells="1"/>
  <protectedRanges>
    <protectedRange sqref="AN43" name="Range2"/>
    <protectedRange sqref="R5" name="Range1"/>
  </protectedRanges>
  <customSheetViews>
    <customSheetView guid="{F792C52D-3F7D-4169-B87A-F2F2698FB257}" scale="75" fitToPage="1" showRuler="0">
      <pane xSplit="5" ySplit="15" topLeftCell="F16" activePane="bottomRight" state="frozen"/>
      <selection pane="bottomRight" activeCell="J54" sqref="J54"/>
      <pageMargins left="0.75" right="0.75" top="1" bottom="1" header="0.5" footer="0.5"/>
      <pageSetup paperSize="9" scale="39" orientation="landscape" r:id="rId1"/>
      <headerFooter alignWithMargins="0"/>
    </customSheetView>
  </customSheetViews>
  <mergeCells count="1">
    <mergeCell ref="F17:AG17"/>
  </mergeCells>
  <phoneticPr fontId="4" type="noConversion"/>
  <pageMargins left="0.75" right="0.75" top="1" bottom="1" header="0.5" footer="0.5"/>
  <pageSetup paperSize="9" scale="32"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AN46"/>
  <sheetViews>
    <sheetView zoomScale="75" workbookViewId="0">
      <pane xSplit="5" ySplit="15" topLeftCell="F16" activePane="bottomRight" state="frozen"/>
      <selection activeCell="E60" sqref="E60"/>
      <selection pane="topRight" activeCell="E60" sqref="E60"/>
      <selection pane="bottomLeft" activeCell="E60" sqref="E60"/>
      <selection pane="bottomRight"/>
    </sheetView>
  </sheetViews>
  <sheetFormatPr defaultRowHeight="12.75" x14ac:dyDescent="0.2"/>
  <cols>
    <col min="5" max="5" width="9.42578125" customWidth="1"/>
    <col min="6" max="7" width="10.140625" bestFit="1" customWidth="1"/>
    <col min="8" max="8" width="10.85546875" customWidth="1"/>
    <col min="9" max="9" width="11.28515625" bestFit="1" customWidth="1"/>
    <col min="10" max="10" width="10.28515625" bestFit="1" customWidth="1"/>
    <col min="11" max="11" width="9.85546875" customWidth="1"/>
    <col min="12" max="16" width="10.140625" bestFit="1" customWidth="1"/>
    <col min="17" max="17" width="13.42578125" customWidth="1"/>
    <col min="18" max="20" width="10.140625" bestFit="1" customWidth="1"/>
    <col min="21" max="33" width="9.7109375" bestFit="1" customWidth="1"/>
  </cols>
  <sheetData>
    <row r="2" spans="2:23" x14ac:dyDescent="0.2">
      <c r="E2" s="127"/>
    </row>
    <row r="4" spans="2:23" x14ac:dyDescent="0.2">
      <c r="B4" s="1" t="s">
        <v>0</v>
      </c>
      <c r="G4" s="1" t="s">
        <v>6</v>
      </c>
      <c r="I4" s="1" t="s">
        <v>12</v>
      </c>
      <c r="K4" s="1" t="s">
        <v>13</v>
      </c>
      <c r="L4" s="1" t="s">
        <v>14</v>
      </c>
      <c r="P4" s="1" t="s">
        <v>16</v>
      </c>
    </row>
    <row r="5" spans="2:23" x14ac:dyDescent="0.2">
      <c r="B5" t="s">
        <v>164</v>
      </c>
      <c r="D5" t="s">
        <v>2</v>
      </c>
      <c r="E5" s="82">
        <f>'Input Data'!BF27</f>
        <v>127.91666666666667</v>
      </c>
      <c r="G5" t="s">
        <v>7</v>
      </c>
      <c r="I5">
        <f>'Input Data'!BF60</f>
        <v>696.89999999999986</v>
      </c>
      <c r="K5" t="s">
        <v>76</v>
      </c>
      <c r="M5">
        <f>'Input Data'!BF76</f>
        <v>265</v>
      </c>
      <c r="N5" t="s">
        <v>26</v>
      </c>
      <c r="P5" t="s">
        <v>120</v>
      </c>
      <c r="R5" s="225">
        <v>6.5891776630484677E-2</v>
      </c>
      <c r="S5" t="s">
        <v>136</v>
      </c>
    </row>
    <row r="6" spans="2:23" x14ac:dyDescent="0.2">
      <c r="B6" t="s">
        <v>4</v>
      </c>
      <c r="D6" t="s">
        <v>3</v>
      </c>
      <c r="E6" s="128">
        <f>'Input Data'!BF23</f>
        <v>872.30000000000007</v>
      </c>
      <c r="G6" t="s">
        <v>8</v>
      </c>
      <c r="I6" s="125">
        <f>'Input Data'!BF65</f>
        <v>0.05</v>
      </c>
      <c r="K6" t="s">
        <v>20</v>
      </c>
      <c r="M6">
        <f>'Input Data'!BF72</f>
        <v>24.6</v>
      </c>
      <c r="N6" t="s">
        <v>135</v>
      </c>
    </row>
    <row r="7" spans="2:23" ht="15.75" x14ac:dyDescent="0.3">
      <c r="G7" t="s">
        <v>9</v>
      </c>
      <c r="I7" s="125">
        <f>'Input Data'!BF66</f>
        <v>0.1</v>
      </c>
      <c r="K7" t="s">
        <v>199</v>
      </c>
      <c r="M7" s="227">
        <f>'Input Data'!BF77</f>
        <v>0</v>
      </c>
      <c r="N7" s="223" t="s">
        <v>26</v>
      </c>
      <c r="W7" s="192"/>
    </row>
    <row r="8" spans="2:23" x14ac:dyDescent="0.2">
      <c r="G8" t="s">
        <v>10</v>
      </c>
      <c r="I8" s="126">
        <f>'Input Data'!BF64</f>
        <v>0.25</v>
      </c>
      <c r="K8" s="1" t="s">
        <v>121</v>
      </c>
      <c r="N8" s="85" t="s">
        <v>126</v>
      </c>
      <c r="P8" s="1"/>
      <c r="Q8" s="1"/>
      <c r="R8" s="98"/>
      <c r="S8" s="1"/>
      <c r="T8" s="99"/>
      <c r="U8" s="1"/>
    </row>
    <row r="9" spans="2:23" x14ac:dyDescent="0.2">
      <c r="K9" t="s">
        <v>106</v>
      </c>
      <c r="N9">
        <f>'Input Data'!BF78</f>
        <v>60</v>
      </c>
      <c r="P9" t="s">
        <v>127</v>
      </c>
      <c r="R9" s="126">
        <f>'Input Data'!BF86</f>
        <v>0.1</v>
      </c>
      <c r="T9" s="192"/>
    </row>
    <row r="10" spans="2:23" x14ac:dyDescent="0.2">
      <c r="B10" s="179" t="str">
        <f>IF('Input Data'!BF9&gt;0.001,"Performance Data: User Adjusted","")</f>
        <v/>
      </c>
      <c r="G10" t="s">
        <v>11</v>
      </c>
      <c r="I10" s="128">
        <f>I5+(I6*I5)+(I5*I7)+(I5*I8)</f>
        <v>975.65999999999985</v>
      </c>
      <c r="K10" t="s">
        <v>107</v>
      </c>
      <c r="N10">
        <f>'Input Data'!BF79</f>
        <v>0.05</v>
      </c>
      <c r="P10" t="s">
        <v>24</v>
      </c>
      <c r="R10" s="83">
        <f>'Input Data'!BF81</f>
        <v>0.02</v>
      </c>
      <c r="S10" t="s">
        <v>125</v>
      </c>
    </row>
    <row r="11" spans="2:23" x14ac:dyDescent="0.2">
      <c r="K11" t="s">
        <v>122</v>
      </c>
      <c r="N11" s="83">
        <f>'Input Data'!BF80</f>
        <v>0.3</v>
      </c>
    </row>
    <row r="12" spans="2:23" x14ac:dyDescent="0.2">
      <c r="K12" s="1" t="s">
        <v>133</v>
      </c>
      <c r="N12" s="272">
        <f>(N9*N10)*(1+N11)</f>
        <v>3.9000000000000004</v>
      </c>
    </row>
    <row r="13" spans="2:23" x14ac:dyDescent="0.2">
      <c r="G13" s="179" t="str">
        <f>IF('Input Data'!BF47&gt;0.001,"Capital and Cost Data: User Adjusted","")</f>
        <v/>
      </c>
      <c r="P13" s="179" t="str">
        <f>IF('Input Data'!BF83&gt;0.001,"Revenue Data: User Adjusted","")</f>
        <v/>
      </c>
    </row>
    <row r="14" spans="2:23" x14ac:dyDescent="0.2">
      <c r="G14" s="177"/>
      <c r="K14" s="179" t="str">
        <f>IF('Input Data'!BF70&gt;0.001,"Operating Data: User Adjusted","")</f>
        <v/>
      </c>
    </row>
    <row r="15" spans="2:23" x14ac:dyDescent="0.2">
      <c r="G15" s="177"/>
    </row>
    <row r="16" spans="2:23" ht="13.5" thickBot="1" x14ac:dyDescent="0.25">
      <c r="G16" s="177"/>
    </row>
    <row r="17" spans="2:39"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Data'!R102</f>
        <v>2012</v>
      </c>
      <c r="J18" s="78">
        <f>'Input Data'!R103</f>
        <v>2013</v>
      </c>
      <c r="K18" s="78">
        <f>'Input Data'!R104</f>
        <v>2014</v>
      </c>
      <c r="L18" s="78">
        <f>'Input Data'!R105</f>
        <v>2015</v>
      </c>
      <c r="M18" s="78">
        <f>'Input Data'!R106</f>
        <v>2016</v>
      </c>
      <c r="N18" s="78">
        <f>'Input Data'!R107</f>
        <v>2017</v>
      </c>
      <c r="O18" s="78">
        <f>'Input Data'!R108</f>
        <v>2018</v>
      </c>
      <c r="P18" s="78">
        <f>'Input Data'!R109</f>
        <v>2019</v>
      </c>
      <c r="Q18" s="78">
        <f>'Input Data'!R110</f>
        <v>2020</v>
      </c>
      <c r="R18" s="78">
        <f>'Input Data'!R111</f>
        <v>2021</v>
      </c>
      <c r="S18" s="78">
        <f>'Input Data'!R112</f>
        <v>2022</v>
      </c>
      <c r="T18" s="78">
        <f>'Input Data'!R113</f>
        <v>2023</v>
      </c>
      <c r="U18" s="78">
        <f>'Input Data'!R114</f>
        <v>2024</v>
      </c>
      <c r="V18" s="78">
        <f>'Input Data'!R115</f>
        <v>2025</v>
      </c>
      <c r="W18" s="78">
        <f>'Input Data'!R116</f>
        <v>2026</v>
      </c>
      <c r="X18" s="78">
        <f>'Input Data'!R117</f>
        <v>2027</v>
      </c>
      <c r="Y18" s="78">
        <f>'Input Data'!R118</f>
        <v>2028</v>
      </c>
      <c r="Z18" s="78">
        <f>'Input Data'!R119</f>
        <v>2029</v>
      </c>
      <c r="AA18" s="78">
        <f>'Input Data'!R120</f>
        <v>2030</v>
      </c>
      <c r="AB18" s="78">
        <f>'Input Data'!R121</f>
        <v>2031</v>
      </c>
      <c r="AC18" s="78">
        <f>'Input Data'!R122</f>
        <v>2032</v>
      </c>
      <c r="AD18" s="78" t="str">
        <f>'Input Data'!R123</f>
        <v/>
      </c>
      <c r="AE18" s="78" t="str">
        <f>'Input Data'!R124</f>
        <v/>
      </c>
      <c r="AF18" s="78" t="str">
        <f>'Input Data'!R125</f>
        <v/>
      </c>
      <c r="AG18" s="78" t="str">
        <f>'Input Data'!R126</f>
        <v/>
      </c>
      <c r="AH18" s="78" t="str">
        <f>'Input Data'!R127</f>
        <v/>
      </c>
      <c r="AI18" s="78" t="str">
        <f>'Input Data'!R128</f>
        <v/>
      </c>
      <c r="AJ18" s="78" t="str">
        <f>'Input Data'!R129</f>
        <v/>
      </c>
      <c r="AK18" s="78" t="str">
        <f>'Input Data'!R130</f>
        <v/>
      </c>
      <c r="AL18" s="78" t="str">
        <f>'Input Data'!R131</f>
        <v/>
      </c>
      <c r="AM18" s="79" t="str">
        <f>'Input Data'!R132</f>
        <v/>
      </c>
    </row>
    <row r="19" spans="2:39" ht="22.5" customHeight="1" thickBot="1" x14ac:dyDescent="0.25">
      <c r="B19" s="1" t="s">
        <v>12</v>
      </c>
      <c r="F19" s="190" t="s">
        <v>169</v>
      </c>
      <c r="G19" s="188" t="s">
        <v>168</v>
      </c>
      <c r="H19" s="188" t="s">
        <v>167</v>
      </c>
      <c r="I19" s="188" t="str">
        <f>'Input Data'!Q102</f>
        <v>Year 1</v>
      </c>
      <c r="J19" s="188" t="str">
        <f>'Input Data'!Q103</f>
        <v>Year 2</v>
      </c>
      <c r="K19" s="188" t="str">
        <f>'Input Data'!Q104</f>
        <v>Year 3</v>
      </c>
      <c r="L19" s="188" t="str">
        <f>'Input Data'!Q105</f>
        <v>Year 4</v>
      </c>
      <c r="M19" s="188" t="str">
        <f>'Input Data'!Q106</f>
        <v>Year 5</v>
      </c>
      <c r="N19" s="188" t="str">
        <f>'Input Data'!Q107</f>
        <v>Year 6</v>
      </c>
      <c r="O19" s="188" t="str">
        <f>'Input Data'!Q108</f>
        <v>Year 7</v>
      </c>
      <c r="P19" s="188" t="str">
        <f>'Input Data'!Q109</f>
        <v>Year 8</v>
      </c>
      <c r="Q19" s="188" t="str">
        <f>'Input Data'!Q110</f>
        <v>Year 9</v>
      </c>
      <c r="R19" s="188" t="str">
        <f>'Input Data'!Q111</f>
        <v>Year 10</v>
      </c>
      <c r="S19" s="188" t="str">
        <f>'Input Data'!Q112</f>
        <v>Year 11</v>
      </c>
      <c r="T19" s="188" t="str">
        <f>'Input Data'!Q113</f>
        <v>Year 12</v>
      </c>
      <c r="U19" s="188" t="str">
        <f>'Input Data'!Q114</f>
        <v>Year 13</v>
      </c>
      <c r="V19" s="188" t="str">
        <f>'Input Data'!Q115</f>
        <v>Year 14</v>
      </c>
      <c r="W19" s="188" t="str">
        <f>'Input Data'!Q116</f>
        <v>Year 15</v>
      </c>
      <c r="X19" s="188" t="str">
        <f>'Input Data'!Q117</f>
        <v>Year 16</v>
      </c>
      <c r="Y19" s="188" t="str">
        <f>'Input Data'!Q118</f>
        <v>Year 17</v>
      </c>
      <c r="Z19" s="188" t="str">
        <f>'Input Data'!Q119</f>
        <v>Year 18</v>
      </c>
      <c r="AA19" s="188" t="str">
        <f>'Input Data'!Q120</f>
        <v>Year 19</v>
      </c>
      <c r="AB19" s="188" t="str">
        <f>'Input Data'!Q121</f>
        <v>Year 20</v>
      </c>
      <c r="AC19" s="188" t="str">
        <f>'Input Data'!Q122</f>
        <v>Year 21</v>
      </c>
      <c r="AD19" s="188" t="str">
        <f>'Input Data'!Q123</f>
        <v/>
      </c>
      <c r="AE19" s="188" t="str">
        <f>'Input Data'!Q124</f>
        <v/>
      </c>
      <c r="AF19" s="188" t="str">
        <f>'Input Data'!Q125</f>
        <v/>
      </c>
      <c r="AG19" s="188" t="str">
        <f>'Input Data'!Q126</f>
        <v/>
      </c>
      <c r="AH19" s="188" t="str">
        <f>'Input Data'!Q127</f>
        <v/>
      </c>
      <c r="AI19" s="188" t="str">
        <f>'Input Data'!Q128</f>
        <v/>
      </c>
      <c r="AJ19" s="188" t="str">
        <f>'Input Data'!Q129</f>
        <v/>
      </c>
      <c r="AK19" s="188" t="str">
        <f>'Input Data'!Q130</f>
        <v/>
      </c>
      <c r="AL19" s="188" t="str">
        <f>'Input Data'!Q131</f>
        <v/>
      </c>
      <c r="AM19" s="189" t="str">
        <f>'Input Data'!Q132</f>
        <v/>
      </c>
    </row>
    <row r="21" spans="2:39" x14ac:dyDescent="0.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9" x14ac:dyDescent="0.2">
      <c r="B22" s="1" t="s">
        <v>161</v>
      </c>
      <c r="F22" s="80"/>
      <c r="G22" s="80"/>
      <c r="H22" s="80"/>
      <c r="I22" s="80">
        <f>'Input Data'!$BD102</f>
        <v>1</v>
      </c>
      <c r="J22" s="80">
        <f>'Input Data'!$BD103</f>
        <v>1</v>
      </c>
      <c r="K22" s="80">
        <f>'Input Data'!$BD104</f>
        <v>1</v>
      </c>
      <c r="L22" s="80">
        <f>'Input Data'!$BD105</f>
        <v>1</v>
      </c>
      <c r="M22" s="80">
        <f>'Input Data'!$BD106</f>
        <v>1</v>
      </c>
      <c r="N22" s="80">
        <f>'Input Data'!$BD107</f>
        <v>1</v>
      </c>
      <c r="O22" s="80">
        <f>'Input Data'!$BD108</f>
        <v>1</v>
      </c>
      <c r="P22" s="80">
        <f>'Input Data'!$BD109</f>
        <v>1</v>
      </c>
      <c r="Q22" s="80">
        <f>'Input Data'!$BD110</f>
        <v>1</v>
      </c>
      <c r="R22" s="80">
        <f>'Input Data'!$BD111</f>
        <v>1</v>
      </c>
      <c r="S22" s="80">
        <f>'Input Data'!$BD112</f>
        <v>1</v>
      </c>
      <c r="T22" s="80">
        <f>'Input Data'!$BD113</f>
        <v>1</v>
      </c>
      <c r="U22" s="80">
        <f>'Input Data'!$BD114</f>
        <v>1</v>
      </c>
      <c r="V22" s="80">
        <f>'Input Data'!$BD115</f>
        <v>1</v>
      </c>
      <c r="W22" s="80">
        <f>'Input Data'!$BD116</f>
        <v>1</v>
      </c>
      <c r="X22" s="80">
        <f>'Input Data'!$BD117</f>
        <v>1</v>
      </c>
      <c r="Y22" s="80">
        <f>'Input Data'!$BD118</f>
        <v>1</v>
      </c>
      <c r="Z22" s="80">
        <f>'Input Data'!$BD119</f>
        <v>1</v>
      </c>
      <c r="AA22" s="80">
        <f>'Input Data'!$BD120</f>
        <v>1</v>
      </c>
      <c r="AB22" s="80">
        <f>'Input Data'!$BD121</f>
        <v>1</v>
      </c>
      <c r="AC22" s="80" t="str">
        <f>IF('Input Data'!BF89&gt;20,'Input Data'!BD122,"")</f>
        <v/>
      </c>
      <c r="AD22" s="80" t="str">
        <f>IF(AD19="Year 22",'Input Data'!BD123,"")</f>
        <v/>
      </c>
      <c r="AE22" s="80" t="str">
        <f>IF(AE19="Year 23",'Input Data'!BD124,"")</f>
        <v/>
      </c>
      <c r="AF22" s="80" t="str">
        <f>IF(AF19="Year 24",'Input Data'!BD125,"")</f>
        <v/>
      </c>
      <c r="AG22" s="80" t="str">
        <f>IF(AG19="Year 25",'Input Data'!BD126,"")</f>
        <v/>
      </c>
      <c r="AH22" s="80" t="str">
        <f>IF('Input Data'!BF89&gt;25,'Input Data'!BD127,"")</f>
        <v/>
      </c>
      <c r="AI22" s="80" t="str">
        <f>IF(AI19="Year 27",'Input Data'!BD128,"")</f>
        <v/>
      </c>
      <c r="AJ22" s="80" t="str">
        <f>IF(AJ19="Year 28",'Input Data'!BD129,"")</f>
        <v/>
      </c>
      <c r="AK22" s="80" t="str">
        <f>IF(AK19="Year 29",'Input Data'!BD130,"")</f>
        <v/>
      </c>
      <c r="AL22" s="80" t="str">
        <f>IF(AL19="Year 30",'Input Data'!BD131,"")</f>
        <v/>
      </c>
      <c r="AM22" s="80" t="str">
        <f>IF('Input Data'!BF89&gt;30,'Input Data'!BD132,"")</f>
        <v/>
      </c>
    </row>
    <row r="23" spans="2:39" x14ac:dyDescent="0.2">
      <c r="B23" s="1" t="s">
        <v>160</v>
      </c>
      <c r="F23" s="80"/>
      <c r="G23" s="80"/>
      <c r="H23" s="80"/>
      <c r="I23" s="80">
        <f>'Input Data'!$BE102</f>
        <v>0.65</v>
      </c>
      <c r="J23" s="80">
        <f>'Input Data'!$BE103</f>
        <v>0.75</v>
      </c>
      <c r="K23" s="80">
        <f>'Input Data'!$BE104</f>
        <v>0.85</v>
      </c>
      <c r="L23" s="80">
        <f>'Input Data'!$BE105</f>
        <v>0.85</v>
      </c>
      <c r="M23" s="80">
        <f>'Input Data'!$BE106</f>
        <v>0.85</v>
      </c>
      <c r="N23" s="80">
        <f>'Input Data'!$BE107</f>
        <v>0.85</v>
      </c>
      <c r="O23" s="80">
        <f>'Input Data'!$BE108</f>
        <v>0.85</v>
      </c>
      <c r="P23" s="80">
        <f>'Input Data'!$BE109</f>
        <v>0.85</v>
      </c>
      <c r="Q23" s="80">
        <f>'Input Data'!$BE110</f>
        <v>0.85</v>
      </c>
      <c r="R23" s="80">
        <f>'Input Data'!$BE111</f>
        <v>0.85</v>
      </c>
      <c r="S23" s="80">
        <f>'Input Data'!$BE112</f>
        <v>0.85</v>
      </c>
      <c r="T23" s="80">
        <f>'Input Data'!$BE113</f>
        <v>0.85</v>
      </c>
      <c r="U23" s="80">
        <f>'Input Data'!$BE114</f>
        <v>0.85</v>
      </c>
      <c r="V23" s="80">
        <f>'Input Data'!$BE115</f>
        <v>0.85</v>
      </c>
      <c r="W23" s="80">
        <f>'Input Data'!$BE116</f>
        <v>0.85</v>
      </c>
      <c r="X23" s="80">
        <f>'Input Data'!$BE117</f>
        <v>0.85</v>
      </c>
      <c r="Y23" s="80">
        <f>'Input Data'!$BE118</f>
        <v>0.85</v>
      </c>
      <c r="Z23" s="80">
        <f>'Input Data'!$BE119</f>
        <v>0.85</v>
      </c>
      <c r="AA23" s="80">
        <f>'Input Data'!$BE120</f>
        <v>0.85</v>
      </c>
      <c r="AB23" s="80">
        <f>'Input Data'!$BE121</f>
        <v>0.85</v>
      </c>
      <c r="AC23" s="80" t="str">
        <f>IF('Input Data'!BF89&gt;20,'Input Data'!BE122,"")</f>
        <v/>
      </c>
      <c r="AD23" s="80" t="str">
        <f>IF(AD19="Year 22",'Input Data'!BE123,"")</f>
        <v/>
      </c>
      <c r="AE23" s="80" t="str">
        <f>IF(AE19="Year 23",'Input Data'!BE124,"")</f>
        <v/>
      </c>
      <c r="AF23" s="80" t="str">
        <f>IF(AF19="Year 24",'Input Data'!BE125,"")</f>
        <v/>
      </c>
      <c r="AG23" s="80" t="str">
        <f>IF(AG19="Year 25",'Input Data'!BE126,"")</f>
        <v/>
      </c>
      <c r="AH23" s="80" t="str">
        <f>IF('Input Data'!BF89&gt;25,'Input Data'!BE127,"")</f>
        <v/>
      </c>
      <c r="AI23" s="80" t="str">
        <f>IF(AI19="Year 27",'Input Data'!BE128,"")</f>
        <v/>
      </c>
      <c r="AJ23" s="80" t="str">
        <f>IF(AJ19="Year 28",'Input Data'!BE129,"")</f>
        <v/>
      </c>
      <c r="AK23" s="80" t="str">
        <f>IF(AK19="Year 29",'Input Data'!BE130,"")</f>
        <v/>
      </c>
      <c r="AL23" s="80" t="str">
        <f>IF(AL19="Year 30",'Input Data'!BE131,"")</f>
        <v/>
      </c>
      <c r="AM23" s="80" t="str">
        <f>IF('Input Data'!BF89&gt;30,'Input Data'!BE132,"")</f>
        <v/>
      </c>
    </row>
    <row r="24" spans="2:39" x14ac:dyDescent="0.2">
      <c r="B24" s="2" t="s">
        <v>162</v>
      </c>
      <c r="F24" s="3"/>
      <c r="G24" s="3"/>
      <c r="H24" s="3"/>
      <c r="I24" s="101">
        <f t="shared" ref="I24:AB24" si="0">I22*8760*I23</f>
        <v>5694</v>
      </c>
      <c r="J24" s="101">
        <f t="shared" si="0"/>
        <v>6570</v>
      </c>
      <c r="K24" s="101">
        <f t="shared" si="0"/>
        <v>7446</v>
      </c>
      <c r="L24" s="101">
        <f t="shared" si="0"/>
        <v>7446</v>
      </c>
      <c r="M24" s="101">
        <f t="shared" si="0"/>
        <v>7446</v>
      </c>
      <c r="N24" s="101">
        <f t="shared" si="0"/>
        <v>7446</v>
      </c>
      <c r="O24" s="101">
        <f t="shared" si="0"/>
        <v>7446</v>
      </c>
      <c r="P24" s="101">
        <f t="shared" si="0"/>
        <v>7446</v>
      </c>
      <c r="Q24" s="101">
        <f t="shared" si="0"/>
        <v>7446</v>
      </c>
      <c r="R24" s="101">
        <f t="shared" si="0"/>
        <v>7446</v>
      </c>
      <c r="S24" s="101">
        <f t="shared" si="0"/>
        <v>7446</v>
      </c>
      <c r="T24" s="101">
        <f t="shared" si="0"/>
        <v>7446</v>
      </c>
      <c r="U24" s="101">
        <f t="shared" si="0"/>
        <v>7446</v>
      </c>
      <c r="V24" s="101">
        <f t="shared" si="0"/>
        <v>7446</v>
      </c>
      <c r="W24" s="101">
        <f t="shared" si="0"/>
        <v>7446</v>
      </c>
      <c r="X24" s="101">
        <f t="shared" si="0"/>
        <v>7446</v>
      </c>
      <c r="Y24" s="101">
        <f t="shared" si="0"/>
        <v>7446</v>
      </c>
      <c r="Z24" s="101">
        <f t="shared" si="0"/>
        <v>7446</v>
      </c>
      <c r="AA24" s="101">
        <f t="shared" si="0"/>
        <v>7446</v>
      </c>
      <c r="AB24" s="101">
        <f t="shared" si="0"/>
        <v>7446</v>
      </c>
      <c r="AC24" s="101" t="str">
        <f>IF('Input Data'!BF89&gt;20, AC22*8760*AC23,"")</f>
        <v/>
      </c>
      <c r="AD24" s="101" t="str">
        <f>IF(AD19="Year 22",AD22*8760*AD23,"")</f>
        <v/>
      </c>
      <c r="AE24" s="101" t="str">
        <f>IF(AE19="Year 23",AE22*8760*AE23,"")</f>
        <v/>
      </c>
      <c r="AF24" s="101" t="str">
        <f>IF(AF19="Year 24",AF22*8760*AF23,"")</f>
        <v/>
      </c>
      <c r="AG24" s="101" t="str">
        <f>IF(AG19="Year 25",AG22*8760*AG23,"")</f>
        <v/>
      </c>
      <c r="AH24" s="101" t="str">
        <f>IF('Input Data'!BF89&gt;25,AH22*8760*AH23,"")</f>
        <v/>
      </c>
      <c r="AI24" s="101" t="str">
        <f>IF(AI19="Year 27",AI22*8760*AI23,"")</f>
        <v/>
      </c>
      <c r="AJ24" s="101" t="str">
        <f>IF(AJ19="Year 28",AJ22*8760*AJ23,"")</f>
        <v/>
      </c>
      <c r="AK24" s="101" t="str">
        <f>IF(AK19="Year 29",AK22*8760*AK23,"")</f>
        <v/>
      </c>
      <c r="AL24" s="101" t="str">
        <f>IF(AL19="Year 30",AL22*8760*AL23,"")</f>
        <v/>
      </c>
      <c r="AM24" s="101" t="str">
        <f>IF('Input Data'!BF89&gt;30,AM22*8760*AM23,"")</f>
        <v/>
      </c>
    </row>
    <row r="25" spans="2:39" x14ac:dyDescent="0.2">
      <c r="B25" s="1" t="s">
        <v>15</v>
      </c>
      <c r="F25" s="80">
        <f>'Input Data'!U96</f>
        <v>0.25</v>
      </c>
      <c r="G25" s="80">
        <f>'Input Data'!U97</f>
        <v>0.45</v>
      </c>
      <c r="H25" s="80">
        <f>'Input Data'!U98</f>
        <v>0.3</v>
      </c>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9" x14ac:dyDescent="0.2">
      <c r="B26" s="1" t="s">
        <v>16</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2:39" x14ac:dyDescent="0.2">
      <c r="B27" s="2" t="s">
        <v>17</v>
      </c>
      <c r="F27" s="3"/>
      <c r="G27" s="3"/>
      <c r="H27" s="3"/>
      <c r="I27" s="87">
        <f t="shared" ref="I27:AB27" si="1">$E$6*I24*$R$5/1000</f>
        <v>327.27629712167055</v>
      </c>
      <c r="J27" s="87">
        <f t="shared" si="1"/>
        <v>377.62649667885063</v>
      </c>
      <c r="K27" s="87">
        <f t="shared" si="1"/>
        <v>427.97669623603076</v>
      </c>
      <c r="L27" s="87">
        <f t="shared" si="1"/>
        <v>427.97669623603076</v>
      </c>
      <c r="M27" s="87">
        <f t="shared" si="1"/>
        <v>427.97669623603076</v>
      </c>
      <c r="N27" s="87">
        <f t="shared" si="1"/>
        <v>427.97669623603076</v>
      </c>
      <c r="O27" s="87">
        <f t="shared" si="1"/>
        <v>427.97669623603076</v>
      </c>
      <c r="P27" s="87">
        <f t="shared" si="1"/>
        <v>427.97669623603076</v>
      </c>
      <c r="Q27" s="87">
        <f t="shared" si="1"/>
        <v>427.97669623603076</v>
      </c>
      <c r="R27" s="87">
        <f t="shared" si="1"/>
        <v>427.97669623603076</v>
      </c>
      <c r="S27" s="87">
        <f t="shared" si="1"/>
        <v>427.97669623603076</v>
      </c>
      <c r="T27" s="87">
        <f t="shared" si="1"/>
        <v>427.97669623603076</v>
      </c>
      <c r="U27" s="87">
        <f t="shared" si="1"/>
        <v>427.97669623603076</v>
      </c>
      <c r="V27" s="87">
        <f t="shared" si="1"/>
        <v>427.97669623603076</v>
      </c>
      <c r="W27" s="87">
        <f t="shared" si="1"/>
        <v>427.97669623603076</v>
      </c>
      <c r="X27" s="87">
        <f t="shared" si="1"/>
        <v>427.97669623603076</v>
      </c>
      <c r="Y27" s="87">
        <f t="shared" si="1"/>
        <v>427.97669623603076</v>
      </c>
      <c r="Z27" s="87">
        <f t="shared" si="1"/>
        <v>427.97669623603076</v>
      </c>
      <c r="AA27" s="87">
        <f t="shared" si="1"/>
        <v>427.97669623603076</v>
      </c>
      <c r="AB27" s="87">
        <f t="shared" si="1"/>
        <v>427.97669623603076</v>
      </c>
      <c r="AC27" s="87" t="str">
        <f>IF('Input Data'!BF89&gt;20,$E$6*AC24*$R$5/1000,"")</f>
        <v/>
      </c>
      <c r="AD27" s="87" t="str">
        <f>IF(AD19="Year 22",$E$6*AD24*$R$5/1000,"")</f>
        <v/>
      </c>
      <c r="AE27" s="87" t="str">
        <f>IF(AE19="Year 23",$E$6*AE24*$R$5/1000,"")</f>
        <v/>
      </c>
      <c r="AF27" s="87" t="str">
        <f>IF(AF19="Year 24",$E$6*AF24*$R$5/1000,"")</f>
        <v/>
      </c>
      <c r="AG27" s="87" t="str">
        <f>IF(AG19="Year 25",$E$6*AG24*$R$5/1000,"")</f>
        <v/>
      </c>
      <c r="AH27" s="87" t="str">
        <f>IF('Input Data'!BF89&gt;25,$E$6*AH24*$R$5/1000,"")</f>
        <v/>
      </c>
      <c r="AI27" s="87" t="str">
        <f>IF(AI19="Year 27",$E$6*AI24*$R$5/1000,"")</f>
        <v/>
      </c>
      <c r="AJ27" s="87" t="str">
        <f>IF(AJ19="Year 28",$E$6*AJ24*$R$5/1000,"")</f>
        <v/>
      </c>
      <c r="AK27" s="87" t="str">
        <f>IF(AK19="Year 29",$E$6*AK24*$R$5/1000,"")</f>
        <v/>
      </c>
      <c r="AL27" s="87" t="str">
        <f>IF(AL19="Year 30",$E$6*AL24*$R$5/1000,"")</f>
        <v/>
      </c>
      <c r="AM27" s="87" t="str">
        <f>IF('Input Data'!BF89&gt;30,$E$6*AM24*$R$5/1000,"")</f>
        <v/>
      </c>
    </row>
    <row r="28" spans="2:39" x14ac:dyDescent="0.2">
      <c r="B28" s="1" t="s">
        <v>19</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2:39" x14ac:dyDescent="0.2">
      <c r="B29" s="2" t="s">
        <v>189</v>
      </c>
      <c r="F29" s="3"/>
      <c r="G29" s="3"/>
      <c r="H29" s="3"/>
      <c r="I29" s="88">
        <f t="shared" ref="I29:AB29" si="2">$M$5*$E$5*I24/1000000</f>
        <v>193.01473750000002</v>
      </c>
      <c r="J29" s="88">
        <f t="shared" si="2"/>
        <v>222.70931250000004</v>
      </c>
      <c r="K29" s="88">
        <f t="shared" si="2"/>
        <v>252.40388750000002</v>
      </c>
      <c r="L29" s="88">
        <f t="shared" si="2"/>
        <v>252.40388750000002</v>
      </c>
      <c r="M29" s="88">
        <f t="shared" si="2"/>
        <v>252.40388750000002</v>
      </c>
      <c r="N29" s="88">
        <f t="shared" si="2"/>
        <v>252.40388750000002</v>
      </c>
      <c r="O29" s="88">
        <f t="shared" si="2"/>
        <v>252.40388750000002</v>
      </c>
      <c r="P29" s="88">
        <f t="shared" si="2"/>
        <v>252.40388750000002</v>
      </c>
      <c r="Q29" s="88">
        <f t="shared" si="2"/>
        <v>252.40388750000002</v>
      </c>
      <c r="R29" s="88">
        <f t="shared" si="2"/>
        <v>252.40388750000002</v>
      </c>
      <c r="S29" s="88">
        <f t="shared" si="2"/>
        <v>252.40388750000002</v>
      </c>
      <c r="T29" s="88">
        <f t="shared" si="2"/>
        <v>252.40388750000002</v>
      </c>
      <c r="U29" s="88">
        <f t="shared" si="2"/>
        <v>252.40388750000002</v>
      </c>
      <c r="V29" s="88">
        <f t="shared" si="2"/>
        <v>252.40388750000002</v>
      </c>
      <c r="W29" s="88">
        <f t="shared" si="2"/>
        <v>252.40388750000002</v>
      </c>
      <c r="X29" s="88">
        <f t="shared" si="2"/>
        <v>252.40388750000002</v>
      </c>
      <c r="Y29" s="88">
        <f t="shared" si="2"/>
        <v>252.40388750000002</v>
      </c>
      <c r="Z29" s="88">
        <f t="shared" si="2"/>
        <v>252.40388750000002</v>
      </c>
      <c r="AA29" s="88">
        <f t="shared" si="2"/>
        <v>252.40388750000002</v>
      </c>
      <c r="AB29" s="88">
        <f t="shared" si="2"/>
        <v>252.40388750000002</v>
      </c>
      <c r="AC29" s="88" t="str">
        <f>IF('Input Data'!BF89&gt;20,$M$5*$E$5*AC24/1000000,"")</f>
        <v/>
      </c>
      <c r="AD29" s="88" t="str">
        <f>IF(AD19="Year 22",$M$5*$E$5*AD24/1000000,"")</f>
        <v/>
      </c>
      <c r="AE29" s="88" t="str">
        <f>IF(AE19="Year 23",$M$5*$E$5*AE24/1000000,"")</f>
        <v/>
      </c>
      <c r="AF29" s="88" t="str">
        <f>IF(AF19="Year 24",$M$5*$E$5*AF24/1000000,"")</f>
        <v/>
      </c>
      <c r="AG29" s="88" t="str">
        <f>IF(AG19="Year 25",$M$5*$E$5*AG24/1000000,"")</f>
        <v/>
      </c>
      <c r="AH29" s="88" t="str">
        <f>IF('Input Data'!BF89&gt;25,$M$5*$E$5*AH24/1000000,"")</f>
        <v/>
      </c>
      <c r="AI29" s="88" t="str">
        <f>IF(AI19="Year 27",$M$5*$E$5*AI24/1000000,"")</f>
        <v/>
      </c>
      <c r="AJ29" s="88" t="str">
        <f>IF(AJ19="Year 28",$M$5*$E$5*AJ24/1000000,"")</f>
        <v/>
      </c>
      <c r="AK29" s="88" t="str">
        <f>IF(AK19="Year 29",$M$5*$E$5*AK24/1000000,"")</f>
        <v/>
      </c>
      <c r="AL29" s="88" t="str">
        <f>IF(AL19="Year 30",$M$5*$E$5*AL24/1000000,"")</f>
        <v/>
      </c>
      <c r="AM29" s="88" t="str">
        <f>IF('Input Data'!BF89&gt;30,$M$5*$E$5*AM24/1000000,"")</f>
        <v/>
      </c>
    </row>
    <row r="30" spans="2:39" x14ac:dyDescent="0.2">
      <c r="B30" s="2" t="s">
        <v>20</v>
      </c>
      <c r="F30" s="3"/>
      <c r="G30" s="3"/>
      <c r="H30" s="3"/>
      <c r="I30" s="88">
        <f t="shared" ref="I30:AB30" si="3">$M$6</f>
        <v>24.6</v>
      </c>
      <c r="J30" s="88">
        <f t="shared" si="3"/>
        <v>24.6</v>
      </c>
      <c r="K30" s="88">
        <f t="shared" si="3"/>
        <v>24.6</v>
      </c>
      <c r="L30" s="88">
        <f t="shared" si="3"/>
        <v>24.6</v>
      </c>
      <c r="M30" s="88">
        <f t="shared" si="3"/>
        <v>24.6</v>
      </c>
      <c r="N30" s="88">
        <f t="shared" si="3"/>
        <v>24.6</v>
      </c>
      <c r="O30" s="88">
        <f t="shared" si="3"/>
        <v>24.6</v>
      </c>
      <c r="P30" s="88">
        <f t="shared" si="3"/>
        <v>24.6</v>
      </c>
      <c r="Q30" s="88">
        <f t="shared" si="3"/>
        <v>24.6</v>
      </c>
      <c r="R30" s="88">
        <f t="shared" si="3"/>
        <v>24.6</v>
      </c>
      <c r="S30" s="88">
        <f t="shared" si="3"/>
        <v>24.6</v>
      </c>
      <c r="T30" s="88">
        <f t="shared" si="3"/>
        <v>24.6</v>
      </c>
      <c r="U30" s="88">
        <f t="shared" si="3"/>
        <v>24.6</v>
      </c>
      <c r="V30" s="88">
        <f t="shared" si="3"/>
        <v>24.6</v>
      </c>
      <c r="W30" s="88">
        <f t="shared" si="3"/>
        <v>24.6</v>
      </c>
      <c r="X30" s="88">
        <f t="shared" si="3"/>
        <v>24.6</v>
      </c>
      <c r="Y30" s="88">
        <f t="shared" si="3"/>
        <v>24.6</v>
      </c>
      <c r="Z30" s="88">
        <f t="shared" si="3"/>
        <v>24.6</v>
      </c>
      <c r="AA30" s="88">
        <f t="shared" si="3"/>
        <v>24.6</v>
      </c>
      <c r="AB30" s="88">
        <f t="shared" si="3"/>
        <v>24.6</v>
      </c>
      <c r="AC30" s="88" t="str">
        <f>IF('Input Data'!BF89&gt;20,$M$6,"")</f>
        <v/>
      </c>
      <c r="AD30" s="88" t="str">
        <f>IF(AD19="Year 22",$M$6,"")</f>
        <v/>
      </c>
      <c r="AE30" s="88" t="str">
        <f>IF(AE19="Year 23",$M$6,"")</f>
        <v/>
      </c>
      <c r="AF30" s="88" t="str">
        <f>IF(AF19="Year 24",$M$6,"")</f>
        <v/>
      </c>
      <c r="AG30" s="88" t="str">
        <f>IF(AG19="Year 25",$M$6,"")</f>
        <v/>
      </c>
      <c r="AH30" s="88" t="str">
        <f>IF('Input Data'!BF89&gt;25,$M$6,"")</f>
        <v/>
      </c>
      <c r="AI30" s="88" t="str">
        <f>IF(AI19="Year 27",$M$6,"")</f>
        <v/>
      </c>
      <c r="AJ30" s="88" t="str">
        <f>IF(AJ19="Year 28",$M$6,"")</f>
        <v/>
      </c>
      <c r="AK30" s="88" t="str">
        <f>IF(AK19="Year 29",$M$6,"")</f>
        <v/>
      </c>
      <c r="AL30" s="88" t="str">
        <f>IF(AL19="Year 30",$M$6,"")</f>
        <v/>
      </c>
      <c r="AM30" s="88" t="str">
        <f>IF('Input Data'!BF89&gt;30,$M$6,"")</f>
        <v/>
      </c>
    </row>
    <row r="31" spans="2:39" x14ac:dyDescent="0.2">
      <c r="B31" s="2" t="s">
        <v>21</v>
      </c>
      <c r="F31" s="3"/>
      <c r="G31" s="3"/>
      <c r="H31" s="3"/>
      <c r="I31" s="88">
        <f t="shared" ref="I31:AB31" si="4">$N$12</f>
        <v>3.9000000000000004</v>
      </c>
      <c r="J31" s="88">
        <f t="shared" si="4"/>
        <v>3.9000000000000004</v>
      </c>
      <c r="K31" s="88">
        <f t="shared" si="4"/>
        <v>3.9000000000000004</v>
      </c>
      <c r="L31" s="88">
        <f t="shared" si="4"/>
        <v>3.9000000000000004</v>
      </c>
      <c r="M31" s="88">
        <f t="shared" si="4"/>
        <v>3.9000000000000004</v>
      </c>
      <c r="N31" s="88">
        <f t="shared" si="4"/>
        <v>3.9000000000000004</v>
      </c>
      <c r="O31" s="88">
        <f t="shared" si="4"/>
        <v>3.9000000000000004</v>
      </c>
      <c r="P31" s="88">
        <f t="shared" si="4"/>
        <v>3.9000000000000004</v>
      </c>
      <c r="Q31" s="88">
        <f t="shared" si="4"/>
        <v>3.9000000000000004</v>
      </c>
      <c r="R31" s="88">
        <f t="shared" si="4"/>
        <v>3.9000000000000004</v>
      </c>
      <c r="S31" s="88">
        <f t="shared" si="4"/>
        <v>3.9000000000000004</v>
      </c>
      <c r="T31" s="88">
        <f t="shared" si="4"/>
        <v>3.9000000000000004</v>
      </c>
      <c r="U31" s="88">
        <f t="shared" si="4"/>
        <v>3.9000000000000004</v>
      </c>
      <c r="V31" s="88">
        <f t="shared" si="4"/>
        <v>3.9000000000000004</v>
      </c>
      <c r="W31" s="88">
        <f t="shared" si="4"/>
        <v>3.9000000000000004</v>
      </c>
      <c r="X31" s="88">
        <f t="shared" si="4"/>
        <v>3.9000000000000004</v>
      </c>
      <c r="Y31" s="88">
        <f t="shared" si="4"/>
        <v>3.9000000000000004</v>
      </c>
      <c r="Z31" s="88">
        <f t="shared" si="4"/>
        <v>3.9000000000000004</v>
      </c>
      <c r="AA31" s="88">
        <f t="shared" si="4"/>
        <v>3.9000000000000004</v>
      </c>
      <c r="AB31" s="88">
        <f t="shared" si="4"/>
        <v>3.9000000000000004</v>
      </c>
      <c r="AC31" s="88" t="str">
        <f>IF('Input Data'!BF89&gt;20,$N$12,"")</f>
        <v/>
      </c>
      <c r="AD31" s="88" t="str">
        <f>IF(AD19="Year 22",$N$12,"")</f>
        <v/>
      </c>
      <c r="AE31" s="88" t="str">
        <f>IF(AE19="Year 23",$N$12,"")</f>
        <v/>
      </c>
      <c r="AF31" s="88" t="str">
        <f>IF(AF19="Year 24",$N$12,"")</f>
        <v/>
      </c>
      <c r="AG31" s="88" t="str">
        <f>IF(AG19="Year 25",$N$12,"")</f>
        <v/>
      </c>
      <c r="AH31" s="88" t="str">
        <f>IF('Input Data'!BF89&gt;25,$N$12,"")</f>
        <v/>
      </c>
      <c r="AI31" s="88" t="str">
        <f>IF(AI19="Year 27",$N$12,"")</f>
        <v/>
      </c>
      <c r="AJ31" s="88" t="str">
        <f>IF(AJ19="Year 28",$N$12,"")</f>
        <v/>
      </c>
      <c r="AK31" s="88" t="str">
        <f>IF(AK19="Year 29",$N$12,"")</f>
        <v/>
      </c>
      <c r="AL31" s="88" t="str">
        <f>IF(AL19="Year 30",$N$12,"")</f>
        <v/>
      </c>
      <c r="AM31" s="88" t="str">
        <f>IF('Input Data'!BF89&gt;30,$N$12,"")</f>
        <v/>
      </c>
    </row>
    <row r="32" spans="2:39" x14ac:dyDescent="0.2">
      <c r="B32" s="2" t="s">
        <v>22</v>
      </c>
      <c r="F32" s="3"/>
      <c r="G32" s="3"/>
      <c r="H32" s="3"/>
      <c r="I32" s="88">
        <f>I22*I23*'Input Data'!$BF$74/0.85</f>
        <v>0.74941176470588233</v>
      </c>
      <c r="J32" s="88">
        <f>J22*J23*'Input Data'!$BF$74/0.85</f>
        <v>0.86470588235294121</v>
      </c>
      <c r="K32" s="88">
        <f>K22*K23*'Input Data'!$BF$74/0.85</f>
        <v>0.98</v>
      </c>
      <c r="L32" s="88">
        <f>L22*L23*'Input Data'!$BF$74/0.85</f>
        <v>0.98</v>
      </c>
      <c r="M32" s="88">
        <f>M22*M23*'Input Data'!$BF$74/0.85</f>
        <v>0.98</v>
      </c>
      <c r="N32" s="88">
        <f>N22*N23*'Input Data'!$BF$74/0.85</f>
        <v>0.98</v>
      </c>
      <c r="O32" s="88">
        <f>O22*O23*'Input Data'!$BF$74/0.85</f>
        <v>0.98</v>
      </c>
      <c r="P32" s="88">
        <f>P22*P23*'Input Data'!$BF$74/0.85</f>
        <v>0.98</v>
      </c>
      <c r="Q32" s="88">
        <f>Q22*Q23*'Input Data'!$BF$74/0.85</f>
        <v>0.98</v>
      </c>
      <c r="R32" s="88">
        <f>R22*R23*'Input Data'!$BF$74/0.85</f>
        <v>0.98</v>
      </c>
      <c r="S32" s="88">
        <f>S22*S23*'Input Data'!$BF$74/0.85</f>
        <v>0.98</v>
      </c>
      <c r="T32" s="88">
        <f>T22*T23*'Input Data'!$BF$74/0.85</f>
        <v>0.98</v>
      </c>
      <c r="U32" s="88">
        <f>U22*U23*'Input Data'!$BF$74/0.85</f>
        <v>0.98</v>
      </c>
      <c r="V32" s="88">
        <f>V22*V23*'Input Data'!$BF$74/0.85</f>
        <v>0.98</v>
      </c>
      <c r="W32" s="88">
        <f>W22*W23*'Input Data'!$BF$74/0.85</f>
        <v>0.98</v>
      </c>
      <c r="X32" s="88">
        <f>X22*X23*'Input Data'!$BF$74/0.85</f>
        <v>0.98</v>
      </c>
      <c r="Y32" s="88">
        <f>Y22*Y23*'Input Data'!$BF$74/0.85</f>
        <v>0.98</v>
      </c>
      <c r="Z32" s="88">
        <f>Z22*Z23*'Input Data'!$BF$74/0.85</f>
        <v>0.98</v>
      </c>
      <c r="AA32" s="88">
        <f>AA22*AA23*'Input Data'!$BF$74/0.85</f>
        <v>0.98</v>
      </c>
      <c r="AB32" s="88">
        <f>AB22*AB23*'Input Data'!$BF$74/0.85</f>
        <v>0.98</v>
      </c>
      <c r="AC32" s="88" t="str">
        <f>IF('Input Data'!BF89&gt;20,AC22*AC23*'Input Data'!$BF$74/0.85,"")</f>
        <v/>
      </c>
      <c r="AD32" s="88" t="str">
        <f>IF(AD19="Year 22",AD22*AD23*'Input Data'!$BF$74/0.85,"")</f>
        <v/>
      </c>
      <c r="AE32" s="88" t="str">
        <f>IF(AE19="Year 23",AE22*AE23*'Input Data'!$BF$74/0.85,"")</f>
        <v/>
      </c>
      <c r="AF32" s="88" t="str">
        <f>IF(AF19="Year 24",AF22*AF23*'Input Data'!$BF$74/0.85,"")</f>
        <v/>
      </c>
      <c r="AG32" s="88" t="str">
        <f>IF(AG19="Year 25",AG22*AG23*'Input Data'!$BF$74/0.85,"")</f>
        <v/>
      </c>
      <c r="AH32" s="88" t="str">
        <f>IF('Input Data'!BF89&gt;25,AH22*AH23*'Input Data'!$BF$74/0.85,"")</f>
        <v/>
      </c>
      <c r="AI32" s="88" t="str">
        <f>IF(AI19="Year 27",AI22*AI23*'Input Data'!$BF$74/0.85,"")</f>
        <v/>
      </c>
      <c r="AJ32" s="88" t="str">
        <f>IF(AJ19="Year 28",AJ22*AJ23*'Input Data'!$BF$74/0.85,"")</f>
        <v/>
      </c>
      <c r="AK32" s="88" t="str">
        <f>IF(AK19="Year 29",AK22*AK23*'Input Data'!$BF$74/0.85,"")</f>
        <v/>
      </c>
      <c r="AL32" s="88" t="str">
        <f>IF(AL19="Year 30",AL22*AL23*'Input Data'!$BF$74/0.85,"")</f>
        <v/>
      </c>
      <c r="AM32" s="88" t="str">
        <f>IF('Input Data'!BF89&gt;30,AM22*AM23*'Input Data'!$BF$74/0.85,"")</f>
        <v/>
      </c>
    </row>
    <row r="33" spans="2:40" x14ac:dyDescent="0.2">
      <c r="B33" s="2" t="s">
        <v>124</v>
      </c>
      <c r="F33" s="3"/>
      <c r="G33" s="3"/>
      <c r="H33" s="3"/>
      <c r="I33" s="88">
        <f>I5*R10</f>
        <v>13.937999999999997</v>
      </c>
      <c r="J33" s="88">
        <f>I5*R10</f>
        <v>13.937999999999997</v>
      </c>
      <c r="K33" s="88">
        <f>I5*R10</f>
        <v>13.937999999999997</v>
      </c>
      <c r="L33" s="88">
        <f>I5*R10</f>
        <v>13.937999999999997</v>
      </c>
      <c r="M33" s="88">
        <f>I5*R10</f>
        <v>13.937999999999997</v>
      </c>
      <c r="N33" s="88">
        <f>I5*R10</f>
        <v>13.937999999999997</v>
      </c>
      <c r="O33" s="88">
        <f>I5*R10</f>
        <v>13.937999999999997</v>
      </c>
      <c r="P33" s="88">
        <f>I5*R10</f>
        <v>13.937999999999997</v>
      </c>
      <c r="Q33" s="88">
        <f>I5*R10</f>
        <v>13.937999999999997</v>
      </c>
      <c r="R33" s="88">
        <f>I5*R10</f>
        <v>13.937999999999997</v>
      </c>
      <c r="S33" s="88">
        <f>I5*R10</f>
        <v>13.937999999999997</v>
      </c>
      <c r="T33" s="88">
        <f>I5*R10</f>
        <v>13.937999999999997</v>
      </c>
      <c r="U33" s="88">
        <f>I5*R10</f>
        <v>13.937999999999997</v>
      </c>
      <c r="V33" s="88">
        <f>I5*R10</f>
        <v>13.937999999999997</v>
      </c>
      <c r="W33" s="88">
        <f>I5*R10</f>
        <v>13.937999999999997</v>
      </c>
      <c r="X33" s="88">
        <f>I5*R10</f>
        <v>13.937999999999997</v>
      </c>
      <c r="Y33" s="88">
        <f>I5*R10</f>
        <v>13.937999999999997</v>
      </c>
      <c r="Z33" s="88">
        <f>I5*R10</f>
        <v>13.937999999999997</v>
      </c>
      <c r="AA33" s="88">
        <f>I5*R10</f>
        <v>13.937999999999997</v>
      </c>
      <c r="AB33" s="88">
        <f>I5*R10</f>
        <v>13.937999999999997</v>
      </c>
      <c r="AC33" s="88" t="str">
        <f>IF('Input Data'!BF89&gt;20,I5*R10,"")</f>
        <v/>
      </c>
      <c r="AD33" s="88" t="str">
        <f>IF(AD19="Year 22",R10*I5,"")</f>
        <v/>
      </c>
      <c r="AE33" s="88" t="str">
        <f>IF(AE19="Year 23",I5*R10,"")</f>
        <v/>
      </c>
      <c r="AF33" s="88" t="str">
        <f>IF(AF19="Year 24",I5*R10,"")</f>
        <v/>
      </c>
      <c r="AG33" s="88" t="str">
        <f>IF(AG19="Year 25",I5*R10,"")</f>
        <v/>
      </c>
      <c r="AH33" s="88" t="str">
        <f>IF('Input Data'!BF89&gt;25,I5*R10,"")</f>
        <v/>
      </c>
      <c r="AI33" s="88" t="str">
        <f>IF(AI19="Year 27",I5*R10,"")</f>
        <v/>
      </c>
      <c r="AJ33" s="88" t="str">
        <f>IF(AJ19="Year 28",I5*R10,"")</f>
        <v/>
      </c>
      <c r="AK33" s="88" t="str">
        <f>IF(AK19="Year 29",I5*R10,"")</f>
        <v/>
      </c>
      <c r="AL33" s="88" t="str">
        <f>IF(AL19="Year 30",I5*R10,"")</f>
        <v/>
      </c>
      <c r="AM33" s="88" t="str">
        <f>IF('Input Data'!BF89&gt;30,I5*R10,"")</f>
        <v/>
      </c>
    </row>
    <row r="34" spans="2:40" ht="15.75" x14ac:dyDescent="0.3">
      <c r="B34" s="2" t="s">
        <v>197</v>
      </c>
      <c r="F34" s="3"/>
      <c r="G34" s="3"/>
      <c r="H34" s="3"/>
      <c r="I34" s="88">
        <f>'Input Data'!$BF$33*'Input Data'!$BF$77*I24/1000000</f>
        <v>0</v>
      </c>
      <c r="J34" s="88">
        <f>'Input Data'!$BF$33*'Input Data'!$BF$77*J24/1000000</f>
        <v>0</v>
      </c>
      <c r="K34" s="88">
        <f>'Input Data'!$BF$33*'Input Data'!$BF$77*K24/1000000</f>
        <v>0</v>
      </c>
      <c r="L34" s="88">
        <f>'Input Data'!$BF$33*'Input Data'!$BF$77*L24/1000000</f>
        <v>0</v>
      </c>
      <c r="M34" s="88">
        <f>'Input Data'!$BF$33*'Input Data'!$BF$77*M24/1000000</f>
        <v>0</v>
      </c>
      <c r="N34" s="88">
        <f>'Input Data'!$BF$33*'Input Data'!$BF$77*N24/1000000</f>
        <v>0</v>
      </c>
      <c r="O34" s="88">
        <f>'Input Data'!$BF$33*'Input Data'!$BF$77*O24/1000000</f>
        <v>0</v>
      </c>
      <c r="P34" s="88">
        <f>'Input Data'!$BF$33*'Input Data'!$BF$77*P24/1000000</f>
        <v>0</v>
      </c>
      <c r="Q34" s="88">
        <f>'Input Data'!$BF$33*'Input Data'!$BF$77*Q24/1000000</f>
        <v>0</v>
      </c>
      <c r="R34" s="88">
        <f>'Input Data'!$BF$33*'Input Data'!$BF$77*R24/1000000</f>
        <v>0</v>
      </c>
      <c r="S34" s="88">
        <f>'Input Data'!$BF$33*'Input Data'!$BF$77*S24/1000000</f>
        <v>0</v>
      </c>
      <c r="T34" s="88">
        <f>'Input Data'!$BF$33*'Input Data'!$BF$77*T24/1000000</f>
        <v>0</v>
      </c>
      <c r="U34" s="88">
        <f>'Input Data'!$BF$33*'Input Data'!$BF$77*U24/1000000</f>
        <v>0</v>
      </c>
      <c r="V34" s="88">
        <f>'Input Data'!$BF$33*'Input Data'!$BF$77*V24/1000000</f>
        <v>0</v>
      </c>
      <c r="W34" s="88">
        <f>'Input Data'!$BF$33*'Input Data'!$BF$77*W24/1000000</f>
        <v>0</v>
      </c>
      <c r="X34" s="88">
        <f>'Input Data'!$BF$33*'Input Data'!$BF$77*X24/1000000</f>
        <v>0</v>
      </c>
      <c r="Y34" s="88">
        <f>'Input Data'!$BF$33*'Input Data'!$BF$77*Y24/1000000</f>
        <v>0</v>
      </c>
      <c r="Z34" s="88">
        <f>'Input Data'!$BF$33*'Input Data'!$BF$77*Z24/1000000</f>
        <v>0</v>
      </c>
      <c r="AA34" s="88">
        <f>'Input Data'!$BF$33*'Input Data'!$BF$77*AA24/1000000</f>
        <v>0</v>
      </c>
      <c r="AB34" s="88">
        <f>'Input Data'!$BF$33*'Input Data'!$BF$77*AB24/1000000</f>
        <v>0</v>
      </c>
      <c r="AC34" s="88" t="str">
        <f>IF('Input Data'!BF89&gt;20,'Input Data'!$BF$33*'Input Data'!$BF$77*AC24/1000000,"")</f>
        <v/>
      </c>
      <c r="AD34" s="88" t="str">
        <f>IF(AD19="Year 22",'Input Data'!$BF$33*'Input Data'!$BF$77*AD24/1000000,"")</f>
        <v/>
      </c>
      <c r="AE34" s="88" t="str">
        <f>IF(AE19="Year 23",'Input Data'!$BF$33*'Input Data'!$BF$77*AE24/1000000,"")</f>
        <v/>
      </c>
      <c r="AF34" s="88" t="str">
        <f>IF(AF19="Year 24",'Input Data'!$BF$33*'Input Data'!$BF$77*AF24/1000000,"")</f>
        <v/>
      </c>
      <c r="AG34" s="88" t="str">
        <f>IF(AG19="Year 25",'Input Data'!$BF$33*'Input Data'!$BF$77*AG24/1000000,"")</f>
        <v/>
      </c>
      <c r="AH34" s="88" t="str">
        <f>IF('Input Data'!BF89&gt;25,'Input Data'!$BF$33*'Input Data'!$BF$77*AH24/1000000,"")</f>
        <v/>
      </c>
      <c r="AI34" s="88" t="str">
        <f>IF(AI19="Year 27",'Input Data'!$BF$33*'Input Data'!$BF$77*AI24/1000000,"")</f>
        <v/>
      </c>
      <c r="AJ34" s="88" t="str">
        <f>IF(AJ19="Year 28",'Input Data'!$BF$33*'Input Data'!$BF$77*AJ24/1000000,"")</f>
        <v/>
      </c>
      <c r="AK34" s="88" t="str">
        <f>IF(AK19="Year 29",'Input Data'!$BF$33*'Input Data'!$BF$77*AK24/1000000,"")</f>
        <v/>
      </c>
      <c r="AL34" s="88" t="str">
        <f>IF(AL19="Year 30",'Input Data'!$BF$33*'Input Data'!$BF$77*AL24/1000000,"")</f>
        <v/>
      </c>
      <c r="AM34" s="88" t="str">
        <f>IF('Input Data'!BF89&gt;30,'Input Data'!$BF$33*'Input Data'!$BF$77*AM24/1000000,"")</f>
        <v/>
      </c>
    </row>
    <row r="35" spans="2:40" x14ac:dyDescent="0.2">
      <c r="B35" s="1" t="s">
        <v>132</v>
      </c>
      <c r="F35" s="88">
        <f>I10*F25</f>
        <v>243.91499999999996</v>
      </c>
      <c r="G35" s="88">
        <f>I10*G25</f>
        <v>439.04699999999997</v>
      </c>
      <c r="H35" s="88">
        <f>H25*I10</f>
        <v>292.69799999999992</v>
      </c>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2:40" ht="13.5" thickBot="1" x14ac:dyDescent="0.25">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40" ht="13.5" thickBot="1" x14ac:dyDescent="0.25">
      <c r="B37" s="90" t="s">
        <v>129</v>
      </c>
      <c r="C37" s="91"/>
      <c r="D37" s="91"/>
      <c r="E37" s="91"/>
      <c r="F37" s="92">
        <f t="shared" ref="F37:AB37" si="5">SUM(F27:F27)-SUM(F29:F34)-F35</f>
        <v>-243.91499999999996</v>
      </c>
      <c r="G37" s="92">
        <f t="shared" si="5"/>
        <v>-439.04699999999997</v>
      </c>
      <c r="H37" s="92">
        <f t="shared" si="5"/>
        <v>-292.69799999999992</v>
      </c>
      <c r="I37" s="92">
        <f t="shared" si="5"/>
        <v>91.074147856964657</v>
      </c>
      <c r="J37" s="92">
        <f t="shared" si="5"/>
        <v>111.61447829649762</v>
      </c>
      <c r="K37" s="92">
        <f t="shared" si="5"/>
        <v>132.15480873603076</v>
      </c>
      <c r="L37" s="92">
        <f t="shared" si="5"/>
        <v>132.15480873603076</v>
      </c>
      <c r="M37" s="92">
        <f t="shared" si="5"/>
        <v>132.15480873603076</v>
      </c>
      <c r="N37" s="92">
        <f t="shared" si="5"/>
        <v>132.15480873603076</v>
      </c>
      <c r="O37" s="92">
        <f t="shared" si="5"/>
        <v>132.15480873603076</v>
      </c>
      <c r="P37" s="92">
        <f t="shared" si="5"/>
        <v>132.15480873603076</v>
      </c>
      <c r="Q37" s="92">
        <f t="shared" si="5"/>
        <v>132.15480873603076</v>
      </c>
      <c r="R37" s="92">
        <f t="shared" si="5"/>
        <v>132.15480873603076</v>
      </c>
      <c r="S37" s="92">
        <f t="shared" si="5"/>
        <v>132.15480873603076</v>
      </c>
      <c r="T37" s="92">
        <f t="shared" si="5"/>
        <v>132.15480873603076</v>
      </c>
      <c r="U37" s="92">
        <f t="shared" si="5"/>
        <v>132.15480873603076</v>
      </c>
      <c r="V37" s="92">
        <f t="shared" si="5"/>
        <v>132.15480873603076</v>
      </c>
      <c r="W37" s="92">
        <f t="shared" si="5"/>
        <v>132.15480873603076</v>
      </c>
      <c r="X37" s="92">
        <f t="shared" si="5"/>
        <v>132.15480873603076</v>
      </c>
      <c r="Y37" s="92">
        <f t="shared" si="5"/>
        <v>132.15480873603076</v>
      </c>
      <c r="Z37" s="92">
        <f t="shared" si="5"/>
        <v>132.15480873603076</v>
      </c>
      <c r="AA37" s="92">
        <f t="shared" si="5"/>
        <v>132.15480873603076</v>
      </c>
      <c r="AB37" s="92">
        <f t="shared" si="5"/>
        <v>132.15480873603076</v>
      </c>
      <c r="AC37" s="92">
        <f>IF(AC19="Year 21",SUM(AC27:AC27)-SUM(AC29:AC34)-AC35,"")</f>
        <v>0</v>
      </c>
      <c r="AD37" s="92" t="str">
        <f>IF(AD19="Year 22",SUM(AD27:AD27)-SUM(AD29:AD34)-AD35,"")</f>
        <v/>
      </c>
      <c r="AE37" s="92" t="str">
        <f>IF(AE19="Year 23",SUM(AE27:AE27)-SUM(AE29:AE34)-AE35,"")</f>
        <v/>
      </c>
      <c r="AF37" s="92" t="str">
        <f>IF(AF19="Year 24",SUM(AF27:AF27)-SUM(AF29:AF34)-AF35,"")</f>
        <v/>
      </c>
      <c r="AG37" s="92" t="str">
        <f>IF(AG19="Year 25",SUM(AG27:AG27)-SUM(AG29:AG34)-AG35,"")</f>
        <v/>
      </c>
      <c r="AH37" s="92" t="str">
        <f>IF(AH19="Year 26",SUM(AH27:AH27)-SUM(AH29:AH34)-AH35,"")</f>
        <v/>
      </c>
      <c r="AI37" s="92" t="str">
        <f>IF(AI19="Year 27",SUM(AI27:AI27)-SUM(AI29:AI34)-AI35,"")</f>
        <v/>
      </c>
      <c r="AJ37" s="92" t="str">
        <f>IF(AJ19="Year 28",SUM(AJ27:AJ27)-SUM(AJ29:AJ34)-AJ35,"")</f>
        <v/>
      </c>
      <c r="AK37" s="92" t="str">
        <f>IF(AK19="Year 29",SUM(AK27:AK27)-SUM(AK29:AK34)-AK35,"")</f>
        <v/>
      </c>
      <c r="AL37" s="92" t="str">
        <f>IF(AL19="Year 30",SUM(AL27:AL27)-SUM(AL29:AL34)-AL35,"")</f>
        <v/>
      </c>
      <c r="AM37" s="92" t="str">
        <f>IF(AM19="Year 31",SUM(AM27:AM27)-SUM(AM29:AM34)-AM35,"")</f>
        <v/>
      </c>
    </row>
    <row r="38" spans="2:40" ht="13.5" thickBot="1" x14ac:dyDescent="0.25">
      <c r="B38" s="90" t="s">
        <v>130</v>
      </c>
      <c r="C38" s="91"/>
      <c r="D38" s="91"/>
      <c r="E38" s="91"/>
      <c r="F38" s="93">
        <f>F37</f>
        <v>-243.91499999999996</v>
      </c>
      <c r="G38" s="93">
        <f>-1*(ABS(G37)+ABS(F38))</f>
        <v>-682.96199999999999</v>
      </c>
      <c r="H38" s="93">
        <f>-1*(ABS(H37)+ABS(G38))</f>
        <v>-975.65999999999985</v>
      </c>
      <c r="I38" s="93">
        <f t="shared" ref="I38:AB38" si="6">H38+I37</f>
        <v>-884.58585214303525</v>
      </c>
      <c r="J38" s="93">
        <f t="shared" si="6"/>
        <v>-772.97137384653763</v>
      </c>
      <c r="K38" s="93">
        <f t="shared" si="6"/>
        <v>-640.81656511050687</v>
      </c>
      <c r="L38" s="93">
        <f t="shared" si="6"/>
        <v>-508.66175637447611</v>
      </c>
      <c r="M38" s="93">
        <f t="shared" si="6"/>
        <v>-376.50694763844535</v>
      </c>
      <c r="N38" s="93">
        <f t="shared" si="6"/>
        <v>-244.35213890241459</v>
      </c>
      <c r="O38" s="93">
        <f t="shared" si="6"/>
        <v>-112.19733016638384</v>
      </c>
      <c r="P38" s="93">
        <f t="shared" si="6"/>
        <v>19.957478569646923</v>
      </c>
      <c r="Q38" s="93">
        <f t="shared" si="6"/>
        <v>152.11228730567768</v>
      </c>
      <c r="R38" s="93">
        <f t="shared" si="6"/>
        <v>284.26709604170844</v>
      </c>
      <c r="S38" s="93">
        <f t="shared" si="6"/>
        <v>416.4219047777392</v>
      </c>
      <c r="T38" s="93">
        <f t="shared" si="6"/>
        <v>548.57671351376996</v>
      </c>
      <c r="U38" s="93">
        <f t="shared" si="6"/>
        <v>680.73152224980072</v>
      </c>
      <c r="V38" s="93">
        <f t="shared" si="6"/>
        <v>812.88633098583148</v>
      </c>
      <c r="W38" s="93">
        <f t="shared" si="6"/>
        <v>945.04113972186224</v>
      </c>
      <c r="X38" s="93">
        <f t="shared" si="6"/>
        <v>1077.1959484578929</v>
      </c>
      <c r="Y38" s="93">
        <f t="shared" si="6"/>
        <v>1209.3507571939235</v>
      </c>
      <c r="Z38" s="93">
        <f t="shared" si="6"/>
        <v>1341.5055659299542</v>
      </c>
      <c r="AA38" s="93">
        <f t="shared" si="6"/>
        <v>1473.6603746659848</v>
      </c>
      <c r="AB38" s="93">
        <f t="shared" si="6"/>
        <v>1605.8151834020155</v>
      </c>
      <c r="AC38" s="93">
        <f>IF(AC19="Year 21",AB38+AC37,"")</f>
        <v>1605.8151834020155</v>
      </c>
      <c r="AD38" s="93" t="str">
        <f>IF(AD19="Year 22",AC38+AD37,"")</f>
        <v/>
      </c>
      <c r="AE38" s="93" t="str">
        <f>IF(AE19="Year 23",AD38+AE37,"")</f>
        <v/>
      </c>
      <c r="AF38" s="93" t="str">
        <f>IF(AF19="Year 24",AE38+AF37,"")</f>
        <v/>
      </c>
      <c r="AG38" s="93" t="str">
        <f>IF(AG19="Year 25",AF38+AG37,"")</f>
        <v/>
      </c>
      <c r="AH38" s="93" t="str">
        <f>IF(AH19="Year 26",AG38+AH37,"")</f>
        <v/>
      </c>
      <c r="AI38" s="93" t="str">
        <f>IF(AI19="Year 27",AH38+AI37,"")</f>
        <v/>
      </c>
      <c r="AJ38" s="93" t="str">
        <f>IF(AJ19="Year 28",AI38+AJ37,"")</f>
        <v/>
      </c>
      <c r="AK38" s="93" t="str">
        <f>IF(AK19="Year 29",AJ38+AK37,"")</f>
        <v/>
      </c>
      <c r="AL38" s="93" t="str">
        <f>IF(AL19="Year 30",AK38+AL37,"")</f>
        <v/>
      </c>
      <c r="AM38" s="93" t="str">
        <f>IF(AM19="Year 31",AL38+AM37,"")</f>
        <v/>
      </c>
    </row>
    <row r="39" spans="2:40" ht="13.5" thickBot="1" x14ac:dyDescent="0.25">
      <c r="B39" s="90"/>
      <c r="C39" s="91"/>
      <c r="D39" s="91"/>
      <c r="E39" s="91"/>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1"/>
      <c r="AJ39" s="91"/>
      <c r="AK39" s="91"/>
      <c r="AL39" s="91"/>
      <c r="AM39" s="91"/>
    </row>
    <row r="40" spans="2:40" ht="13.5" thickBot="1" x14ac:dyDescent="0.25">
      <c r="B40" s="90" t="s">
        <v>128</v>
      </c>
      <c r="C40" s="91"/>
      <c r="D40" s="91"/>
      <c r="E40" s="91"/>
      <c r="F40" s="93">
        <f>F38/(1+R9)</f>
        <v>-221.74090909090904</v>
      </c>
      <c r="G40" s="93">
        <f>G37/(1+R9)^2</f>
        <v>-362.84876033057844</v>
      </c>
      <c r="H40" s="93">
        <f>H37/(1+R9)^3</f>
        <v>-219.90833959428988</v>
      </c>
      <c r="I40" s="93">
        <f>I37/(1+R9)^4</f>
        <v>62.204868422214759</v>
      </c>
      <c r="J40" s="93">
        <f>J37/(1+R9)^5</f>
        <v>69.30380953641864</v>
      </c>
      <c r="K40" s="93">
        <f>K37/(1+R9)^6</f>
        <v>74.597944262732526</v>
      </c>
      <c r="L40" s="93">
        <f>L37/(1+R9)^7</f>
        <v>67.816312966120464</v>
      </c>
      <c r="M40" s="93">
        <f>M37/(1+R9)^8</f>
        <v>61.651193605564067</v>
      </c>
      <c r="N40" s="93">
        <f>N37/(1+R9)^9</f>
        <v>56.046539641421873</v>
      </c>
      <c r="O40" s="93">
        <f>O37/(1+R9)^10</f>
        <v>50.951399674019882</v>
      </c>
      <c r="P40" s="93">
        <f>P37/(1+R9)^11</f>
        <v>46.319454249108979</v>
      </c>
      <c r="Q40" s="93">
        <f>Q37/(1+R9)^12</f>
        <v>42.108594771917254</v>
      </c>
      <c r="R40" s="93">
        <f>R37/(1+R9)^13</f>
        <v>38.280540701742957</v>
      </c>
      <c r="S40" s="93">
        <f>S37/(1+R9)^14</f>
        <v>34.800491547039044</v>
      </c>
      <c r="T40" s="93">
        <f>T37/(1+R9)^15</f>
        <v>31.636810497308222</v>
      </c>
      <c r="U40" s="93">
        <f>U37/(1+R9)^16</f>
        <v>28.760736815734745</v>
      </c>
      <c r="V40" s="93">
        <f>V37/(1+R9)^17</f>
        <v>26.146124377940676</v>
      </c>
      <c r="W40" s="93">
        <f>W37/(1+R9)^18</f>
        <v>23.76920397994607</v>
      </c>
      <c r="X40" s="93">
        <f>X37/(1+R9)^19</f>
        <v>21.608367254496422</v>
      </c>
      <c r="Y40" s="93">
        <f>Y37/(1+R9)^20</f>
        <v>19.643970231360385</v>
      </c>
      <c r="Z40" s="93">
        <f>Z37/(1+R9)^21</f>
        <v>17.858154755782166</v>
      </c>
      <c r="AA40" s="93">
        <f>AA37/(1+R9)^22</f>
        <v>16.234686141620148</v>
      </c>
      <c r="AB40" s="93">
        <f>AB37/(1+R9)^23</f>
        <v>14.758805583291043</v>
      </c>
      <c r="AC40" s="93">
        <f>IF(AC19="Year 21",AC37/(1+R9)^24,"")</f>
        <v>0</v>
      </c>
      <c r="AD40" s="93" t="str">
        <f>IF(AD19="Year 22",AD37/(1+R9)^25,"")</f>
        <v/>
      </c>
      <c r="AE40" s="93" t="str">
        <f>IF(AE19="Year 23",AE37/(1+R9)^26,"")</f>
        <v/>
      </c>
      <c r="AF40" s="93" t="str">
        <f>IF(AF19="Year 24",AF37/(1+R9)^27,"")</f>
        <v/>
      </c>
      <c r="AG40" s="93" t="str">
        <f>IF(AG19="Year 25",AG37/(1+R9)^28,"")</f>
        <v/>
      </c>
      <c r="AH40" s="93" t="str">
        <f>IF(AH19="Year 26",AH37/(1+R9)^29,"")</f>
        <v/>
      </c>
      <c r="AI40" s="93" t="str">
        <f>IF(AI19="Year 27",AI37/(1+R9)^30,"")</f>
        <v/>
      </c>
      <c r="AJ40" s="93" t="str">
        <f>IF(AJ19="Year 28",AJ37/(1+R9)^31,"")</f>
        <v/>
      </c>
      <c r="AK40" s="93" t="str">
        <f>IF(AK19="Year 29",AK37/(1+R9)^32,"")</f>
        <v/>
      </c>
      <c r="AL40" s="93" t="str">
        <f>IF(AL19="Year 30",AL37/(1+R9)^33,"")</f>
        <v/>
      </c>
      <c r="AM40" s="93" t="str">
        <f>IF(AM19="Year 31",AM37/(1+R9)^34,"")</f>
        <v/>
      </c>
    </row>
    <row r="41" spans="2:40" ht="13.5" thickBot="1" x14ac:dyDescent="0.25">
      <c r="B41" s="90" t="s">
        <v>131</v>
      </c>
      <c r="C41" s="91"/>
      <c r="D41" s="91"/>
      <c r="E41" s="91"/>
      <c r="F41" s="93">
        <f>F40</f>
        <v>-221.74090909090904</v>
      </c>
      <c r="G41" s="93">
        <f t="shared" ref="G41:AB41" si="7">SUM(G40+F41)</f>
        <v>-584.58966942148754</v>
      </c>
      <c r="H41" s="93">
        <f t="shared" si="7"/>
        <v>-804.49800901577737</v>
      </c>
      <c r="I41" s="93">
        <f t="shared" si="7"/>
        <v>-742.29314059356261</v>
      </c>
      <c r="J41" s="93">
        <f t="shared" si="7"/>
        <v>-672.989331057144</v>
      </c>
      <c r="K41" s="93">
        <f t="shared" si="7"/>
        <v>-598.39138679441146</v>
      </c>
      <c r="L41" s="93">
        <f t="shared" si="7"/>
        <v>-530.57507382829101</v>
      </c>
      <c r="M41" s="93">
        <f t="shared" si="7"/>
        <v>-468.92388022272695</v>
      </c>
      <c r="N41" s="93">
        <f t="shared" si="7"/>
        <v>-412.87734058130508</v>
      </c>
      <c r="O41" s="93">
        <f t="shared" si="7"/>
        <v>-361.92594090728517</v>
      </c>
      <c r="P41" s="93">
        <f t="shared" si="7"/>
        <v>-315.60648665817621</v>
      </c>
      <c r="Q41" s="93">
        <f t="shared" si="7"/>
        <v>-273.49789188625897</v>
      </c>
      <c r="R41" s="93">
        <f t="shared" si="7"/>
        <v>-235.21735118451602</v>
      </c>
      <c r="S41" s="93">
        <f t="shared" si="7"/>
        <v>-200.41685963747699</v>
      </c>
      <c r="T41" s="93">
        <f t="shared" si="7"/>
        <v>-168.78004914016876</v>
      </c>
      <c r="U41" s="93">
        <f t="shared" si="7"/>
        <v>-140.019312324434</v>
      </c>
      <c r="V41" s="93">
        <f t="shared" si="7"/>
        <v>-113.87318794649332</v>
      </c>
      <c r="W41" s="93">
        <f t="shared" si="7"/>
        <v>-90.103983966547247</v>
      </c>
      <c r="X41" s="93">
        <f t="shared" si="7"/>
        <v>-68.495616712050833</v>
      </c>
      <c r="Y41" s="93">
        <f t="shared" si="7"/>
        <v>-48.851646480690448</v>
      </c>
      <c r="Z41" s="93">
        <f t="shared" si="7"/>
        <v>-30.993491724908282</v>
      </c>
      <c r="AA41" s="93">
        <f t="shared" si="7"/>
        <v>-14.758805583288133</v>
      </c>
      <c r="AB41" s="93">
        <f t="shared" si="7"/>
        <v>2.9096725029376103E-12</v>
      </c>
      <c r="AC41" s="93">
        <f>IF(AC19="Year 21",SUM(AC40+AB41),"")</f>
        <v>2.9096725029376103E-12</v>
      </c>
      <c r="AD41" s="93" t="str">
        <f>IF(AD19="Year 22",SUM(AD40+AC41),"")</f>
        <v/>
      </c>
      <c r="AE41" s="93" t="str">
        <f>IF(AE19="Year 23",SUM(AE40+AD41),"")</f>
        <v/>
      </c>
      <c r="AF41" s="93" t="str">
        <f>IF(AF19="Year 24",SUM(AF40+AE41),"")</f>
        <v/>
      </c>
      <c r="AG41" s="93" t="str">
        <f>IF(AG19="Year 25",SUM(AG40+AF41),"")</f>
        <v/>
      </c>
      <c r="AH41" s="93" t="str">
        <f>IF(AH19="Year 26",SUM(AH40+AG41),"")</f>
        <v/>
      </c>
      <c r="AI41" s="93" t="str">
        <f>IF(AI19="Year 27",SUM(AI40+AH41),"")</f>
        <v/>
      </c>
      <c r="AJ41" s="93" t="str">
        <f>IF(AJ19="Year 28",SUM(AJ40+AI41),"")</f>
        <v/>
      </c>
      <c r="AK41" s="93" t="str">
        <f>IF(AK19="Year 29",SUM(AK40+AJ41),"")</f>
        <v/>
      </c>
      <c r="AL41" s="93" t="str">
        <f>IF(AL19="Year 30",SUM(AL40+AK41),"")</f>
        <v/>
      </c>
      <c r="AM41" s="93" t="str">
        <f>IF(AM19="Year 31",SUM(AM40+AL41),"")</f>
        <v/>
      </c>
    </row>
    <row r="42" spans="2:40"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40" s="229" customFormat="1" x14ac:dyDescent="0.2">
      <c r="F43" s="230"/>
      <c r="G43" s="230"/>
      <c r="H43" s="230"/>
      <c r="I43" s="230"/>
      <c r="J43" s="230"/>
      <c r="K43" s="230"/>
      <c r="L43" s="230"/>
      <c r="M43" s="230"/>
      <c r="N43" s="230"/>
      <c r="O43" s="230"/>
      <c r="P43" s="230"/>
      <c r="Q43" s="230"/>
      <c r="R43" s="230"/>
      <c r="S43" s="230"/>
      <c r="T43" s="230"/>
      <c r="U43" s="230"/>
      <c r="V43" s="230"/>
      <c r="W43" s="230"/>
      <c r="X43" s="230"/>
      <c r="Y43" s="230"/>
      <c r="Z43" s="230"/>
      <c r="AA43" s="230" t="s">
        <v>203</v>
      </c>
      <c r="AB43" s="230"/>
      <c r="AC43" s="231">
        <f>SUM(AC40+AB41)</f>
        <v>2.9096725029376103E-12</v>
      </c>
      <c r="AD43" s="231">
        <f>IF(AD40="",AC41,SUM(AD40+AC41))</f>
        <v>2.9096725029376103E-12</v>
      </c>
      <c r="AE43" s="231">
        <f t="shared" ref="AE43:AN43" si="8">IF(AE40="",AD43,SUM(AE40+AD43))</f>
        <v>2.9096725029376103E-12</v>
      </c>
      <c r="AF43" s="231">
        <f t="shared" si="8"/>
        <v>2.9096725029376103E-12</v>
      </c>
      <c r="AG43" s="231">
        <f t="shared" si="8"/>
        <v>2.9096725029376103E-12</v>
      </c>
      <c r="AH43" s="231">
        <f t="shared" si="8"/>
        <v>2.9096725029376103E-12</v>
      </c>
      <c r="AI43" s="231">
        <f t="shared" si="8"/>
        <v>2.9096725029376103E-12</v>
      </c>
      <c r="AJ43" s="231">
        <f t="shared" si="8"/>
        <v>2.9096725029376103E-12</v>
      </c>
      <c r="AK43" s="231">
        <f t="shared" si="8"/>
        <v>2.9096725029376103E-12</v>
      </c>
      <c r="AL43" s="231">
        <f t="shared" si="8"/>
        <v>2.9096725029376103E-12</v>
      </c>
      <c r="AM43" s="231">
        <f t="shared" si="8"/>
        <v>2.9096725029376103E-12</v>
      </c>
      <c r="AN43" s="231">
        <f t="shared" si="8"/>
        <v>2.9096725029376103E-12</v>
      </c>
    </row>
    <row r="44" spans="2:40" x14ac:dyDescent="0.2">
      <c r="F44" s="82"/>
      <c r="G44" s="82"/>
      <c r="H44" s="87"/>
    </row>
    <row r="45" spans="2:40" x14ac:dyDescent="0.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row>
    <row r="46" spans="2:40" x14ac:dyDescent="0.2">
      <c r="I46" s="82"/>
    </row>
  </sheetData>
  <sheetProtection password="C9BE" sheet="1" objects="1" scenarios="1" selectLockedCells="1" selectUnlockedCells="1"/>
  <protectedRanges>
    <protectedRange sqref="AN43" name="Range2"/>
    <protectedRange sqref="R5" name="Range1"/>
  </protectedRanges>
  <mergeCells count="1">
    <mergeCell ref="F17:AG17"/>
  </mergeCells>
  <phoneticPr fontId="4" type="noConversion"/>
  <pageMargins left="0.75" right="0.75" top="1" bottom="1" header="0.5" footer="0.5"/>
  <pageSetup paperSize="9" scale="3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N59"/>
  <sheetViews>
    <sheetView topLeftCell="B1" zoomScale="75" workbookViewId="0">
      <pane xSplit="4" ySplit="15" topLeftCell="F21" activePane="bottomRight" state="frozen"/>
      <selection activeCell="E60" sqref="E60"/>
      <selection pane="topRight" activeCell="E60" sqref="E60"/>
      <selection pane="bottomLeft" activeCell="E60" sqref="E60"/>
      <selection pane="bottomRight" activeCell="B1" sqref="B1"/>
    </sheetView>
  </sheetViews>
  <sheetFormatPr defaultRowHeight="12.75" x14ac:dyDescent="0.2"/>
  <cols>
    <col min="5" max="5" width="9.42578125" customWidth="1"/>
    <col min="6" max="7" width="10.140625" bestFit="1" customWidth="1"/>
    <col min="8" max="8" width="10.85546875" customWidth="1"/>
    <col min="9" max="9" width="13.5703125" customWidth="1"/>
    <col min="10" max="10" width="10.28515625" bestFit="1" customWidth="1"/>
    <col min="11" max="11" width="9.85546875" customWidth="1"/>
    <col min="12" max="16" width="10.140625" bestFit="1" customWidth="1"/>
    <col min="17" max="17" width="13.42578125" customWidth="1"/>
    <col min="18" max="20" width="10.140625" bestFit="1" customWidth="1"/>
    <col min="21" max="33" width="9.7109375" bestFit="1" customWidth="1"/>
  </cols>
  <sheetData>
    <row r="2" spans="2:21" x14ac:dyDescent="0.2">
      <c r="E2" s="127"/>
    </row>
    <row r="4" spans="2:21" x14ac:dyDescent="0.2">
      <c r="B4" s="1" t="s">
        <v>0</v>
      </c>
      <c r="G4" s="1" t="s">
        <v>6</v>
      </c>
      <c r="I4" s="1" t="s">
        <v>12</v>
      </c>
      <c r="K4" s="1" t="s">
        <v>13</v>
      </c>
      <c r="L4" s="1" t="s">
        <v>14</v>
      </c>
      <c r="P4" s="1" t="s">
        <v>16</v>
      </c>
    </row>
    <row r="5" spans="2:21" x14ac:dyDescent="0.2">
      <c r="B5" t="s">
        <v>164</v>
      </c>
      <c r="D5" t="s">
        <v>2</v>
      </c>
      <c r="E5" s="82">
        <f>'Input Data'!AB27</f>
        <v>127.91666666666667</v>
      </c>
      <c r="G5" t="s">
        <v>7</v>
      </c>
      <c r="I5">
        <f>'Input Data'!AB60</f>
        <v>388.9</v>
      </c>
      <c r="K5" t="s">
        <v>76</v>
      </c>
      <c r="M5">
        <f>'Input Data'!AB76</f>
        <v>265</v>
      </c>
      <c r="N5" t="s">
        <v>26</v>
      </c>
      <c r="P5" t="s">
        <v>120</v>
      </c>
      <c r="R5" s="81">
        <v>4.788289933723542E-2</v>
      </c>
      <c r="S5" t="s">
        <v>136</v>
      </c>
    </row>
    <row r="6" spans="2:21" x14ac:dyDescent="0.2">
      <c r="B6" t="s">
        <v>4</v>
      </c>
      <c r="D6" t="s">
        <v>3</v>
      </c>
      <c r="E6" s="128">
        <f>'Input Data'!AB23</f>
        <v>990.8</v>
      </c>
      <c r="G6" t="s">
        <v>8</v>
      </c>
      <c r="I6" s="125">
        <f>'Input Data'!AB65</f>
        <v>0.05</v>
      </c>
      <c r="K6" t="s">
        <v>20</v>
      </c>
      <c r="M6">
        <f>'Input Data'!AB72</f>
        <v>16.600000000000001</v>
      </c>
      <c r="N6" t="s">
        <v>135</v>
      </c>
    </row>
    <row r="7" spans="2:21" ht="15.75" x14ac:dyDescent="0.3">
      <c r="G7" t="s">
        <v>9</v>
      </c>
      <c r="I7" s="125">
        <f>'Input Data'!AB66</f>
        <v>0.1</v>
      </c>
      <c r="K7" t="s">
        <v>199</v>
      </c>
      <c r="M7" s="227">
        <f>'Input Data'!AB77</f>
        <v>0</v>
      </c>
      <c r="N7" s="223" t="s">
        <v>26</v>
      </c>
    </row>
    <row r="8" spans="2:21" x14ac:dyDescent="0.2">
      <c r="E8" s="128"/>
      <c r="G8" t="s">
        <v>10</v>
      </c>
      <c r="I8" s="126">
        <f>'Input Data'!AB64</f>
        <v>0.25</v>
      </c>
      <c r="K8" s="1" t="s">
        <v>121</v>
      </c>
      <c r="N8" s="85" t="s">
        <v>126</v>
      </c>
      <c r="P8" s="1"/>
      <c r="Q8" s="1"/>
      <c r="R8" s="98"/>
      <c r="S8" s="1"/>
      <c r="T8" s="99"/>
      <c r="U8" s="1"/>
    </row>
    <row r="9" spans="2:21" x14ac:dyDescent="0.2">
      <c r="K9" t="s">
        <v>106</v>
      </c>
      <c r="N9">
        <f>'Input Data'!AB78</f>
        <v>40</v>
      </c>
      <c r="P9" t="s">
        <v>127</v>
      </c>
      <c r="R9" s="86">
        <f>'Input Data'!AB86</f>
        <v>0.1</v>
      </c>
      <c r="U9" s="192"/>
    </row>
    <row r="10" spans="2:21" x14ac:dyDescent="0.2">
      <c r="B10" s="179" t="str">
        <f>IF('Input Data'!AB9&gt;0.001,"Performance Data: User Adjusted","")</f>
        <v/>
      </c>
      <c r="G10" t="s">
        <v>11</v>
      </c>
      <c r="I10" s="128">
        <f>I5+(I6*I5)+(I5*I7)+(I5*I8)</f>
        <v>544.45999999999992</v>
      </c>
      <c r="K10" t="s">
        <v>107</v>
      </c>
      <c r="N10">
        <f>'Input Data'!AB79</f>
        <v>0.05</v>
      </c>
      <c r="P10" t="s">
        <v>24</v>
      </c>
      <c r="R10" s="83">
        <f>'Input Data'!AB81</f>
        <v>0.02</v>
      </c>
      <c r="S10" t="s">
        <v>125</v>
      </c>
    </row>
    <row r="11" spans="2:21" x14ac:dyDescent="0.2">
      <c r="K11" t="s">
        <v>122</v>
      </c>
      <c r="N11" s="83">
        <f>'Input Data'!AB80</f>
        <v>0.3</v>
      </c>
    </row>
    <row r="12" spans="2:21" x14ac:dyDescent="0.2">
      <c r="K12" s="1" t="s">
        <v>133</v>
      </c>
      <c r="N12" s="272">
        <f>(N9*N10)*(1+N11)</f>
        <v>2.6</v>
      </c>
    </row>
    <row r="13" spans="2:21" x14ac:dyDescent="0.2">
      <c r="G13" s="179" t="str">
        <f>IF('Input Data'!AB47&gt;0.001,"Capital and Cost Data: User Adjusted","")</f>
        <v/>
      </c>
      <c r="P13" s="179" t="str">
        <f>IF('Input Data'!AB83&gt;0.001,"Revenue Data: User Adjusted","")</f>
        <v/>
      </c>
    </row>
    <row r="14" spans="2:21" x14ac:dyDescent="0.2">
      <c r="G14" s="177"/>
      <c r="K14" s="179" t="str">
        <f>IF('Input Data'!AB70&gt;0.001,"Operating Data: User Adjusted","")</f>
        <v/>
      </c>
    </row>
    <row r="15" spans="2:21" x14ac:dyDescent="0.2">
      <c r="G15" s="177"/>
    </row>
    <row r="16" spans="2:21" ht="13.5" thickBot="1" x14ac:dyDescent="0.25">
      <c r="G16" s="177"/>
    </row>
    <row r="17" spans="2:39" x14ac:dyDescent="0.2">
      <c r="B17" s="1"/>
      <c r="F17" s="302" t="s">
        <v>110</v>
      </c>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187"/>
      <c r="AI17" s="187"/>
      <c r="AJ17" s="187"/>
      <c r="AK17" s="187"/>
      <c r="AL17" s="187"/>
      <c r="AM17" s="89"/>
    </row>
    <row r="18" spans="2:39" x14ac:dyDescent="0.2">
      <c r="B18" s="1" t="s">
        <v>25</v>
      </c>
      <c r="F18" s="77">
        <f>G18-1</f>
        <v>2009</v>
      </c>
      <c r="G18" s="78">
        <f>H18-1</f>
        <v>2010</v>
      </c>
      <c r="H18" s="78">
        <f>I18-1</f>
        <v>2011</v>
      </c>
      <c r="I18" s="78">
        <f>'Input Data'!Y102</f>
        <v>2012</v>
      </c>
      <c r="J18" s="78">
        <f>'Input Data'!Y103</f>
        <v>2013</v>
      </c>
      <c r="K18" s="78">
        <f>'Input Data'!Y104</f>
        <v>2014</v>
      </c>
      <c r="L18" s="78">
        <f>'Input Data'!Y105</f>
        <v>2015</v>
      </c>
      <c r="M18" s="78">
        <f>'Input Data'!Y106</f>
        <v>2016</v>
      </c>
      <c r="N18" s="78">
        <f>'Input Data'!Y107</f>
        <v>2017</v>
      </c>
      <c r="O18" s="78">
        <f>'Input Data'!Y108</f>
        <v>2018</v>
      </c>
      <c r="P18" s="78">
        <f>'Input Data'!Y109</f>
        <v>2019</v>
      </c>
      <c r="Q18" s="78">
        <f>'Input Data'!Y110</f>
        <v>2020</v>
      </c>
      <c r="R18" s="78">
        <f>'Input Data'!Y111</f>
        <v>2021</v>
      </c>
      <c r="S18" s="78">
        <f>'Input Data'!Y112</f>
        <v>2022</v>
      </c>
      <c r="T18" s="78">
        <f>'Input Data'!Y113</f>
        <v>2023</v>
      </c>
      <c r="U18" s="78">
        <f>'Input Data'!Y114</f>
        <v>2024</v>
      </c>
      <c r="V18" s="78">
        <f>'Input Data'!Y115</f>
        <v>2025</v>
      </c>
      <c r="W18" s="78">
        <f>'Input Data'!Y116</f>
        <v>2026</v>
      </c>
      <c r="X18" s="78">
        <f>'Input Data'!Y117</f>
        <v>2027</v>
      </c>
      <c r="Y18" s="78">
        <f>'Input Data'!Y118</f>
        <v>2028</v>
      </c>
      <c r="Z18" s="78">
        <f>'Input Data'!Y119</f>
        <v>2029</v>
      </c>
      <c r="AA18" s="78">
        <f>'Input Data'!Y120</f>
        <v>2030</v>
      </c>
      <c r="AB18" s="78">
        <f>'Input Data'!Y121</f>
        <v>2031</v>
      </c>
      <c r="AC18" s="78">
        <f>'Input Data'!Y122</f>
        <v>2032</v>
      </c>
      <c r="AD18" s="78" t="str">
        <f>'Input Data'!Y123</f>
        <v/>
      </c>
      <c r="AE18" s="78" t="str">
        <f>'Input Data'!Y124</f>
        <v/>
      </c>
      <c r="AF18" s="78" t="str">
        <f>'Input Data'!Y125</f>
        <v/>
      </c>
      <c r="AG18" s="78" t="str">
        <f>'Input Data'!Y126</f>
        <v/>
      </c>
      <c r="AH18" s="78" t="str">
        <f>'Input Data'!Y127</f>
        <v/>
      </c>
      <c r="AI18" s="78" t="str">
        <f>'Input Data'!Y128</f>
        <v/>
      </c>
      <c r="AJ18" s="78" t="str">
        <f>'Input Data'!Y129</f>
        <v/>
      </c>
      <c r="AK18" s="78" t="str">
        <f>'Input Data'!Y130</f>
        <v/>
      </c>
      <c r="AL18" s="78" t="str">
        <f>'Input Data'!Y131</f>
        <v/>
      </c>
      <c r="AM18" s="79" t="str">
        <f>'Input Data'!Y132</f>
        <v/>
      </c>
    </row>
    <row r="19" spans="2:39" ht="22.5" customHeight="1" thickBot="1" x14ac:dyDescent="0.25">
      <c r="B19" s="1" t="s">
        <v>12</v>
      </c>
      <c r="F19" s="190" t="s">
        <v>169</v>
      </c>
      <c r="G19" s="188" t="s">
        <v>168</v>
      </c>
      <c r="H19" s="188" t="s">
        <v>167</v>
      </c>
      <c r="I19" s="188" t="str">
        <f>'Input Data'!X102</f>
        <v>Year 1</v>
      </c>
      <c r="J19" s="188" t="str">
        <f>'Input Data'!X103</f>
        <v>Year 2</v>
      </c>
      <c r="K19" s="188" t="str">
        <f>'Input Data'!X104</f>
        <v>Year 3</v>
      </c>
      <c r="L19" s="188" t="str">
        <f>'Input Data'!X105</f>
        <v>Year 4</v>
      </c>
      <c r="M19" s="188" t="str">
        <f>'Input Data'!X106</f>
        <v>Year 5</v>
      </c>
      <c r="N19" s="188" t="str">
        <f>'Input Data'!X107</f>
        <v>Year 6</v>
      </c>
      <c r="O19" s="188" t="str">
        <f>'Input Data'!X108</f>
        <v>Year 7</v>
      </c>
      <c r="P19" s="188" t="str">
        <f>'Input Data'!X109</f>
        <v>Year 8</v>
      </c>
      <c r="Q19" s="188" t="str">
        <f>'Input Data'!X110</f>
        <v>Year 9</v>
      </c>
      <c r="R19" s="188" t="str">
        <f>'Input Data'!X111</f>
        <v>Year 10</v>
      </c>
      <c r="S19" s="188" t="str">
        <f>'Input Data'!X112</f>
        <v>Year 11</v>
      </c>
      <c r="T19" s="188" t="str">
        <f>'Input Data'!X113</f>
        <v>Year 12</v>
      </c>
      <c r="U19" s="188" t="str">
        <f>'Input Data'!X114</f>
        <v>Year 13</v>
      </c>
      <c r="V19" s="188" t="str">
        <f>'Input Data'!X115</f>
        <v>Year 14</v>
      </c>
      <c r="W19" s="188" t="str">
        <f>'Input Data'!X116</f>
        <v>Year 15</v>
      </c>
      <c r="X19" s="188" t="str">
        <f>'Input Data'!X117</f>
        <v>Year 16</v>
      </c>
      <c r="Y19" s="188" t="str">
        <f>'Input Data'!X118</f>
        <v>Year 17</v>
      </c>
      <c r="Z19" s="188" t="str">
        <f>'Input Data'!X119</f>
        <v>Year 18</v>
      </c>
      <c r="AA19" s="188" t="str">
        <f>'Input Data'!X120</f>
        <v>Year 19</v>
      </c>
      <c r="AB19" s="188" t="str">
        <f>'Input Data'!X121</f>
        <v>Year 20</v>
      </c>
      <c r="AC19" s="188" t="str">
        <f>'Input Data'!X122</f>
        <v>Year 21</v>
      </c>
      <c r="AD19" s="188" t="str">
        <f>'Input Data'!X123</f>
        <v/>
      </c>
      <c r="AE19" s="188" t="str">
        <f>'Input Data'!X124</f>
        <v/>
      </c>
      <c r="AF19" s="188" t="str">
        <f>'Input Data'!X125</f>
        <v/>
      </c>
      <c r="AG19" s="188" t="str">
        <f>'Input Data'!X126</f>
        <v/>
      </c>
      <c r="AH19" s="188" t="str">
        <f>'Input Data'!X127</f>
        <v/>
      </c>
      <c r="AI19" s="188" t="str">
        <f>'Input Data'!X128</f>
        <v/>
      </c>
      <c r="AJ19" s="188" t="str">
        <f>'Input Data'!X129</f>
        <v/>
      </c>
      <c r="AK19" s="188" t="str">
        <f>'Input Data'!X130</f>
        <v/>
      </c>
      <c r="AL19" s="188" t="str">
        <f>'Input Data'!X131</f>
        <v/>
      </c>
      <c r="AM19" s="189" t="str">
        <f>'Input Data'!X132</f>
        <v/>
      </c>
    </row>
    <row r="21" spans="2:39" x14ac:dyDescent="0.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9" x14ac:dyDescent="0.2">
      <c r="B22" s="1" t="s">
        <v>159</v>
      </c>
      <c r="F22" s="80"/>
      <c r="G22" s="80"/>
      <c r="H22" s="80"/>
      <c r="I22" s="80">
        <f>'Input Data'!Z102</f>
        <v>1</v>
      </c>
      <c r="J22" s="80">
        <f>'Input Data'!Z103</f>
        <v>1</v>
      </c>
      <c r="K22" s="80">
        <f>'Input Data'!Z104</f>
        <v>1</v>
      </c>
      <c r="L22" s="80">
        <f>'Input Data'!Z105</f>
        <v>1</v>
      </c>
      <c r="M22" s="80">
        <f>'Input Data'!Z106</f>
        <v>1</v>
      </c>
      <c r="N22" s="80">
        <f>'Input Data'!Z107</f>
        <v>1</v>
      </c>
      <c r="O22" s="80">
        <f>'Input Data'!Z108</f>
        <v>1</v>
      </c>
      <c r="P22" s="80">
        <f>'Input Data'!Z109</f>
        <v>1</v>
      </c>
      <c r="Q22" s="80">
        <f>'Input Data'!Z110</f>
        <v>1</v>
      </c>
      <c r="R22" s="80">
        <f>'Input Data'!Z111</f>
        <v>1</v>
      </c>
      <c r="S22" s="80">
        <f>'Input Data'!Z112</f>
        <v>1</v>
      </c>
      <c r="T22" s="80">
        <f>'Input Data'!Z113</f>
        <v>1</v>
      </c>
      <c r="U22" s="80">
        <f>'Input Data'!Z114</f>
        <v>1</v>
      </c>
      <c r="V22" s="80">
        <f>'Input Data'!Z115</f>
        <v>1</v>
      </c>
      <c r="W22" s="80">
        <f>'Input Data'!Z116</f>
        <v>1</v>
      </c>
      <c r="X22" s="80">
        <f>'Input Data'!Z117</f>
        <v>1</v>
      </c>
      <c r="Y22" s="80">
        <f>'Input Data'!Z118</f>
        <v>1</v>
      </c>
      <c r="Z22" s="80">
        <f>'Input Data'!Z119</f>
        <v>1</v>
      </c>
      <c r="AA22" s="80">
        <f>'Input Data'!Z120</f>
        <v>1</v>
      </c>
      <c r="AB22" s="80">
        <f>'Input Data'!Z121</f>
        <v>1</v>
      </c>
      <c r="AC22" s="80" t="str">
        <f>IF('Input Data'!AB89&gt;20,'Input Data'!Z122,"")</f>
        <v/>
      </c>
      <c r="AD22" s="80" t="str">
        <f>IF(AD19="Year 22",'Input Data'!Z123,"")</f>
        <v/>
      </c>
      <c r="AE22" s="80" t="str">
        <f>IF(AE19="Year 23",'Input Data'!Z124,"")</f>
        <v/>
      </c>
      <c r="AF22" s="80" t="str">
        <f>IF(AF19="Year 24",'Input Data'!Z125,"")</f>
        <v/>
      </c>
      <c r="AG22" s="80" t="str">
        <f>IF(AG19="Year 25",'Input Data'!Z126,"")</f>
        <v/>
      </c>
      <c r="AH22" s="80" t="str">
        <f>IF('Input Data'!AB89&gt;25,'Input Data'!Z127,"")</f>
        <v/>
      </c>
      <c r="AI22" s="80" t="str">
        <f>IF(AI19="Year 27",'Input Data'!Z128,"")</f>
        <v/>
      </c>
      <c r="AJ22" s="80" t="str">
        <f>IF(AJ19="Year 28",'Input Data'!Z129,"")</f>
        <v/>
      </c>
      <c r="AK22" s="80" t="str">
        <f>IF(AK19="Year 29",'Input Data'!Z130,"")</f>
        <v/>
      </c>
      <c r="AL22" s="80" t="str">
        <f>IF(AL19="Year 30",'Input Data'!Z131,"")</f>
        <v/>
      </c>
      <c r="AM22" s="80" t="str">
        <f>IF('Input Data'!AB89&gt;30,'Input Data'!Z132,"")</f>
        <v/>
      </c>
    </row>
    <row r="23" spans="2:39" x14ac:dyDescent="0.2">
      <c r="B23" s="1" t="s">
        <v>139</v>
      </c>
      <c r="F23" s="80"/>
      <c r="G23" s="80"/>
      <c r="H23" s="80"/>
      <c r="I23" s="80">
        <f>'Input Data'!AA102</f>
        <v>0.65</v>
      </c>
      <c r="J23" s="80">
        <f>'Input Data'!AA103</f>
        <v>0.75</v>
      </c>
      <c r="K23" s="80">
        <f>'Input Data'!AA104</f>
        <v>0.85</v>
      </c>
      <c r="L23" s="80">
        <f>'Input Data'!AA105</f>
        <v>0.85</v>
      </c>
      <c r="M23" s="80">
        <f>'Input Data'!AA106</f>
        <v>0.85</v>
      </c>
      <c r="N23" s="80">
        <f>'Input Data'!AA107</f>
        <v>0.85</v>
      </c>
      <c r="O23" s="80">
        <f>'Input Data'!AA108</f>
        <v>0.85</v>
      </c>
      <c r="P23" s="80">
        <f>'Input Data'!AA109</f>
        <v>0.85</v>
      </c>
      <c r="Q23" s="80">
        <f>'Input Data'!AA110</f>
        <v>0.85</v>
      </c>
      <c r="R23" s="80">
        <f>'Input Data'!AA111</f>
        <v>0.85</v>
      </c>
      <c r="S23" s="80">
        <f>'Input Data'!AA112</f>
        <v>0.85</v>
      </c>
      <c r="T23" s="80">
        <f>'Input Data'!AA113</f>
        <v>0.85</v>
      </c>
      <c r="U23" s="80">
        <f>'Input Data'!AA114</f>
        <v>0.85</v>
      </c>
      <c r="V23" s="80">
        <f>'Input Data'!AA115</f>
        <v>0.85</v>
      </c>
      <c r="W23" s="80">
        <f>'Input Data'!AA116</f>
        <v>0.85</v>
      </c>
      <c r="X23" s="80">
        <f>'Input Data'!AA117</f>
        <v>0.85</v>
      </c>
      <c r="Y23" s="80">
        <f>'Input Data'!AA118</f>
        <v>0.85</v>
      </c>
      <c r="Z23" s="80">
        <f>'Input Data'!AA119</f>
        <v>0.85</v>
      </c>
      <c r="AA23" s="80">
        <f>'Input Data'!AA120</f>
        <v>0.85</v>
      </c>
      <c r="AB23" s="80">
        <f>'Input Data'!AA121</f>
        <v>0.85</v>
      </c>
      <c r="AC23" s="80" t="str">
        <f>IF('Input Data'!AB89&gt;20,'Input Data'!AA122,"")</f>
        <v/>
      </c>
      <c r="AD23" s="80" t="str">
        <f>IF(AD19="Year 22",'Input Data'!AA123,"")</f>
        <v/>
      </c>
      <c r="AE23" s="80" t="str">
        <f>IF(AE19="Year 23",'Input Data'!AA124,"")</f>
        <v/>
      </c>
      <c r="AF23" s="80" t="str">
        <f>IF(AF19="Year 24",'Input Data'!AA125,"")</f>
        <v/>
      </c>
      <c r="AG23" s="80" t="str">
        <f>IF(AG19="Year 25",'Input Data'!AA126,"")</f>
        <v/>
      </c>
      <c r="AH23" s="80" t="str">
        <f>IF('Input Data'!AB89&gt;25,'Input Data'!AA127,"")</f>
        <v/>
      </c>
      <c r="AI23" s="80" t="str">
        <f>IF(AI19="Year 27",'Input Data'!AA128,"")</f>
        <v/>
      </c>
      <c r="AJ23" s="80" t="str">
        <f>IF(AJ19="Year 28",'Input Data'!AA129,"")</f>
        <v/>
      </c>
      <c r="AK23" s="80" t="str">
        <f>IF(AK19="Year 29",'Input Data'!AA130,"")</f>
        <v/>
      </c>
      <c r="AL23" s="80" t="str">
        <f>IF(AL19="Year 30",'Input Data'!AA131,"")</f>
        <v/>
      </c>
      <c r="AM23" s="80" t="str">
        <f>IF('Input Data'!AB89&gt;30,'Input Data'!AA132,"")</f>
        <v/>
      </c>
    </row>
    <row r="24" spans="2:39" x14ac:dyDescent="0.2">
      <c r="B24" s="2" t="s">
        <v>162</v>
      </c>
      <c r="F24" s="3"/>
      <c r="G24" s="3"/>
      <c r="H24" s="3"/>
      <c r="I24" s="101">
        <f>I22*8760*I23</f>
        <v>5694</v>
      </c>
      <c r="J24" s="101">
        <f t="shared" ref="J24:AB24" si="0">J22*8760*J23</f>
        <v>6570</v>
      </c>
      <c r="K24" s="101">
        <f t="shared" si="0"/>
        <v>7446</v>
      </c>
      <c r="L24" s="101">
        <f t="shared" si="0"/>
        <v>7446</v>
      </c>
      <c r="M24" s="101">
        <f t="shared" si="0"/>
        <v>7446</v>
      </c>
      <c r="N24" s="101">
        <f t="shared" si="0"/>
        <v>7446</v>
      </c>
      <c r="O24" s="101">
        <f t="shared" si="0"/>
        <v>7446</v>
      </c>
      <c r="P24" s="101">
        <f t="shared" si="0"/>
        <v>7446</v>
      </c>
      <c r="Q24" s="101">
        <f t="shared" si="0"/>
        <v>7446</v>
      </c>
      <c r="R24" s="101">
        <f t="shared" si="0"/>
        <v>7446</v>
      </c>
      <c r="S24" s="101">
        <f t="shared" si="0"/>
        <v>7446</v>
      </c>
      <c r="T24" s="101">
        <f t="shared" si="0"/>
        <v>7446</v>
      </c>
      <c r="U24" s="101">
        <f t="shared" si="0"/>
        <v>7446</v>
      </c>
      <c r="V24" s="101">
        <f t="shared" si="0"/>
        <v>7446</v>
      </c>
      <c r="W24" s="101">
        <f t="shared" si="0"/>
        <v>7446</v>
      </c>
      <c r="X24" s="101">
        <f t="shared" si="0"/>
        <v>7446</v>
      </c>
      <c r="Y24" s="101">
        <f t="shared" si="0"/>
        <v>7446</v>
      </c>
      <c r="Z24" s="101">
        <f t="shared" si="0"/>
        <v>7446</v>
      </c>
      <c r="AA24" s="101">
        <f t="shared" si="0"/>
        <v>7446</v>
      </c>
      <c r="AB24" s="101">
        <f t="shared" si="0"/>
        <v>7446</v>
      </c>
      <c r="AC24" s="101" t="str">
        <f>IF('Input Data'!AB89&gt;20, AC22*8760*AC23,"")</f>
        <v/>
      </c>
      <c r="AD24" s="101" t="str">
        <f>IF(AD19="Year 22",AD22*8760*AD23,"")</f>
        <v/>
      </c>
      <c r="AE24" s="101" t="str">
        <f>IF(AE19="Year 23",AE22*8760*AE23,"")</f>
        <v/>
      </c>
      <c r="AF24" s="101" t="str">
        <f>IF(AF19="Year 24",AF22*8760*AF23,"")</f>
        <v/>
      </c>
      <c r="AG24" s="101" t="str">
        <f>IF(AG19="Year 25",AG22*8760*AG23,"")</f>
        <v/>
      </c>
      <c r="AH24" s="101" t="str">
        <f>IF('Input Data'!AB89&gt;25,AH22*8760*AH23,"")</f>
        <v/>
      </c>
      <c r="AI24" s="101" t="str">
        <f>IF(AI19="Year 27",AI22*8760*AI23,"")</f>
        <v/>
      </c>
      <c r="AJ24" s="101" t="str">
        <f>IF(AJ19="Year 28",AJ22*8760*AJ23,"")</f>
        <v/>
      </c>
      <c r="AK24" s="101" t="str">
        <f>IF(AK19="Year 29",AK22*8760*AK23,"")</f>
        <v/>
      </c>
      <c r="AL24" s="101" t="str">
        <f>IF(AL19="Year 30",AL22*8760*AL23,"")</f>
        <v/>
      </c>
      <c r="AM24" s="101" t="str">
        <f>IF('Input Data'!AB89&gt;30,AM22*8760*AM23,"")</f>
        <v/>
      </c>
    </row>
    <row r="25" spans="2:39" x14ac:dyDescent="0.2">
      <c r="B25" s="1" t="s">
        <v>15</v>
      </c>
      <c r="F25" s="80">
        <f>'Input Data'!AB96</f>
        <v>0.25</v>
      </c>
      <c r="G25" s="80">
        <f>'Input Data'!AB97</f>
        <v>0.45</v>
      </c>
      <c r="H25" s="80">
        <f>'Input Data'!AB98</f>
        <v>0.3</v>
      </c>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2:39" x14ac:dyDescent="0.2">
      <c r="B26" s="1" t="s">
        <v>16</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2:39" x14ac:dyDescent="0.2">
      <c r="B27" s="2" t="s">
        <v>17</v>
      </c>
      <c r="F27" s="3"/>
      <c r="G27" s="3"/>
      <c r="H27" s="3"/>
      <c r="I27" s="87">
        <f t="shared" ref="I27:AB27" si="1">$E$6*I24*$R$5/1000</f>
        <v>270.13689272101732</v>
      </c>
      <c r="J27" s="87">
        <f t="shared" si="1"/>
        <v>311.69641467809686</v>
      </c>
      <c r="K27" s="87">
        <f t="shared" si="1"/>
        <v>353.2559366351764</v>
      </c>
      <c r="L27" s="87">
        <f t="shared" si="1"/>
        <v>353.2559366351764</v>
      </c>
      <c r="M27" s="87">
        <f t="shared" si="1"/>
        <v>353.2559366351764</v>
      </c>
      <c r="N27" s="87">
        <f t="shared" si="1"/>
        <v>353.2559366351764</v>
      </c>
      <c r="O27" s="87">
        <f t="shared" si="1"/>
        <v>353.2559366351764</v>
      </c>
      <c r="P27" s="87">
        <f t="shared" si="1"/>
        <v>353.2559366351764</v>
      </c>
      <c r="Q27" s="87">
        <f t="shared" si="1"/>
        <v>353.2559366351764</v>
      </c>
      <c r="R27" s="87">
        <f t="shared" si="1"/>
        <v>353.2559366351764</v>
      </c>
      <c r="S27" s="87">
        <f t="shared" si="1"/>
        <v>353.2559366351764</v>
      </c>
      <c r="T27" s="87">
        <f t="shared" si="1"/>
        <v>353.2559366351764</v>
      </c>
      <c r="U27" s="87">
        <f t="shared" si="1"/>
        <v>353.2559366351764</v>
      </c>
      <c r="V27" s="87">
        <f t="shared" si="1"/>
        <v>353.2559366351764</v>
      </c>
      <c r="W27" s="87">
        <f t="shared" si="1"/>
        <v>353.2559366351764</v>
      </c>
      <c r="X27" s="87">
        <f t="shared" si="1"/>
        <v>353.2559366351764</v>
      </c>
      <c r="Y27" s="87">
        <f t="shared" si="1"/>
        <v>353.2559366351764</v>
      </c>
      <c r="Z27" s="87">
        <f t="shared" si="1"/>
        <v>353.2559366351764</v>
      </c>
      <c r="AA27" s="87">
        <f t="shared" si="1"/>
        <v>353.2559366351764</v>
      </c>
      <c r="AB27" s="87">
        <f t="shared" si="1"/>
        <v>353.2559366351764</v>
      </c>
      <c r="AC27" s="87" t="str">
        <f>IF('Input Data'!AB89&gt;20,$E$6*AC24*$R$5/1000,"")</f>
        <v/>
      </c>
      <c r="AD27" s="87" t="str">
        <f>IF(AD19="Year 22",$E$6*AD24*$R$5/1000,"")</f>
        <v/>
      </c>
      <c r="AE27" s="87" t="str">
        <f>IF(AE19="Year 23",$E$6*AE24*$R$5/1000,"")</f>
        <v/>
      </c>
      <c r="AF27" s="87" t="str">
        <f>IF(AF19="Year 24",$E$6*AF24*$R$5/1000,"")</f>
        <v/>
      </c>
      <c r="AG27" s="87" t="str">
        <f>IF(AG19="Year 25",$E$6*AG24*$R$5/1000,"")</f>
        <v/>
      </c>
      <c r="AH27" s="87" t="str">
        <f>IF('Input Data'!AB89&gt;25,$E$6*AH24*$R$5/1000,"")</f>
        <v/>
      </c>
      <c r="AI27" s="87" t="str">
        <f>IF(AI19="Year 27",$E$6*AI24*$R$5/1000,"")</f>
        <v/>
      </c>
      <c r="AJ27" s="87" t="str">
        <f>IF(AJ19="Year 28",$E$6*AJ24*$R$5/1000,"")</f>
        <v/>
      </c>
      <c r="AK27" s="87" t="str">
        <f>IF(AK19="Year 29",$E$6*AK24*$R$5/1000,"")</f>
        <v/>
      </c>
      <c r="AL27" s="87" t="str">
        <f>IF(AL19="Year 30",$E$6*AL24*$R$5/1000,"")</f>
        <v/>
      </c>
      <c r="AM27" s="87" t="str">
        <f>IF('Input Data'!AB89&gt;30,$E$6*AM24*$R$5/1000,"")</f>
        <v/>
      </c>
    </row>
    <row r="28" spans="2:39" x14ac:dyDescent="0.2">
      <c r="B28" s="1" t="s">
        <v>19</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2:39" x14ac:dyDescent="0.2">
      <c r="B29" s="2" t="s">
        <v>189</v>
      </c>
      <c r="F29" s="3"/>
      <c r="G29" s="3"/>
      <c r="H29" s="3"/>
      <c r="I29" s="88">
        <f>$M$5*$E$5*I24/1000000</f>
        <v>193.01473750000002</v>
      </c>
      <c r="J29" s="88">
        <f t="shared" ref="J29:AB29" si="2">$M$5*$E$5*J24/1000000</f>
        <v>222.70931250000004</v>
      </c>
      <c r="K29" s="88">
        <f t="shared" si="2"/>
        <v>252.40388750000002</v>
      </c>
      <c r="L29" s="88">
        <f t="shared" si="2"/>
        <v>252.40388750000002</v>
      </c>
      <c r="M29" s="88">
        <f t="shared" si="2"/>
        <v>252.40388750000002</v>
      </c>
      <c r="N29" s="88">
        <f t="shared" si="2"/>
        <v>252.40388750000002</v>
      </c>
      <c r="O29" s="88">
        <f t="shared" si="2"/>
        <v>252.40388750000002</v>
      </c>
      <c r="P29" s="88">
        <f t="shared" si="2"/>
        <v>252.40388750000002</v>
      </c>
      <c r="Q29" s="88">
        <f t="shared" si="2"/>
        <v>252.40388750000002</v>
      </c>
      <c r="R29" s="88">
        <f t="shared" si="2"/>
        <v>252.40388750000002</v>
      </c>
      <c r="S29" s="88">
        <f t="shared" si="2"/>
        <v>252.40388750000002</v>
      </c>
      <c r="T29" s="88">
        <f t="shared" si="2"/>
        <v>252.40388750000002</v>
      </c>
      <c r="U29" s="88">
        <f t="shared" si="2"/>
        <v>252.40388750000002</v>
      </c>
      <c r="V29" s="88">
        <f t="shared" si="2"/>
        <v>252.40388750000002</v>
      </c>
      <c r="W29" s="88">
        <f t="shared" si="2"/>
        <v>252.40388750000002</v>
      </c>
      <c r="X29" s="88">
        <f t="shared" si="2"/>
        <v>252.40388750000002</v>
      </c>
      <c r="Y29" s="88">
        <f t="shared" si="2"/>
        <v>252.40388750000002</v>
      </c>
      <c r="Z29" s="88">
        <f t="shared" si="2"/>
        <v>252.40388750000002</v>
      </c>
      <c r="AA29" s="88">
        <f t="shared" si="2"/>
        <v>252.40388750000002</v>
      </c>
      <c r="AB29" s="88">
        <f t="shared" si="2"/>
        <v>252.40388750000002</v>
      </c>
      <c r="AC29" s="88" t="str">
        <f>IF('Input Data'!AB89&gt;20,$M$5*$E$5*AC24/1000000,"")</f>
        <v/>
      </c>
      <c r="AD29" s="88" t="str">
        <f>IF(AD19="Year 22",$M$5*$E$5*AD24/1000000,"")</f>
        <v/>
      </c>
      <c r="AE29" s="88" t="str">
        <f>IF(AE19="Year 23",$M$5*$E$5*AE24/1000000,"")</f>
        <v/>
      </c>
      <c r="AF29" s="88" t="str">
        <f>IF(AF19="Year 24",$M$5*$E$5*AF24/1000000,"")</f>
        <v/>
      </c>
      <c r="AG29" s="88" t="str">
        <f>IF(AG19="Year 25",$M$5*$E$5*AG24/1000000,"")</f>
        <v/>
      </c>
      <c r="AH29" s="88" t="str">
        <f>IF('Input Data'!AB89&gt;25,$M$5*$E$5*AH24/1000000,"")</f>
        <v/>
      </c>
      <c r="AI29" s="88" t="str">
        <f>IF(AI19="Year 27",$M$5*$E$5*AI24/1000000,"")</f>
        <v/>
      </c>
      <c r="AJ29" s="88" t="str">
        <f>IF(AJ19="Year 28",$M$5*$E$5*AJ24/1000000,"")</f>
        <v/>
      </c>
      <c r="AK29" s="88" t="str">
        <f>IF(AK19="Year 29",$M$5*$E$5*AK24/1000000,"")</f>
        <v/>
      </c>
      <c r="AL29" s="88" t="str">
        <f>IF(AL19="Year 30",$M$5*$E$5*AL24/1000000,"")</f>
        <v/>
      </c>
      <c r="AM29" s="88" t="str">
        <f>IF('Input Data'!AB89&gt;30,$M$5*$E$5*AM24/1000000,"")</f>
        <v/>
      </c>
    </row>
    <row r="30" spans="2:39" x14ac:dyDescent="0.2">
      <c r="B30" s="2" t="s">
        <v>20</v>
      </c>
      <c r="F30" s="3"/>
      <c r="G30" s="3"/>
      <c r="H30" s="3"/>
      <c r="I30" s="88">
        <f t="shared" ref="I30:AB30" si="3">$M$6</f>
        <v>16.600000000000001</v>
      </c>
      <c r="J30" s="88">
        <f t="shared" si="3"/>
        <v>16.600000000000001</v>
      </c>
      <c r="K30" s="88">
        <f t="shared" si="3"/>
        <v>16.600000000000001</v>
      </c>
      <c r="L30" s="88">
        <f t="shared" si="3"/>
        <v>16.600000000000001</v>
      </c>
      <c r="M30" s="88">
        <f t="shared" si="3"/>
        <v>16.600000000000001</v>
      </c>
      <c r="N30" s="88">
        <f t="shared" si="3"/>
        <v>16.600000000000001</v>
      </c>
      <c r="O30" s="88">
        <f t="shared" si="3"/>
        <v>16.600000000000001</v>
      </c>
      <c r="P30" s="88">
        <f t="shared" si="3"/>
        <v>16.600000000000001</v>
      </c>
      <c r="Q30" s="88">
        <f t="shared" si="3"/>
        <v>16.600000000000001</v>
      </c>
      <c r="R30" s="88">
        <f t="shared" si="3"/>
        <v>16.600000000000001</v>
      </c>
      <c r="S30" s="88">
        <f t="shared" si="3"/>
        <v>16.600000000000001</v>
      </c>
      <c r="T30" s="88">
        <f t="shared" si="3"/>
        <v>16.600000000000001</v>
      </c>
      <c r="U30" s="88">
        <f t="shared" si="3"/>
        <v>16.600000000000001</v>
      </c>
      <c r="V30" s="88">
        <f t="shared" si="3"/>
        <v>16.600000000000001</v>
      </c>
      <c r="W30" s="88">
        <f t="shared" si="3"/>
        <v>16.600000000000001</v>
      </c>
      <c r="X30" s="88">
        <f t="shared" si="3"/>
        <v>16.600000000000001</v>
      </c>
      <c r="Y30" s="88">
        <f t="shared" si="3"/>
        <v>16.600000000000001</v>
      </c>
      <c r="Z30" s="88">
        <f t="shared" si="3"/>
        <v>16.600000000000001</v>
      </c>
      <c r="AA30" s="88">
        <f t="shared" si="3"/>
        <v>16.600000000000001</v>
      </c>
      <c r="AB30" s="88">
        <f t="shared" si="3"/>
        <v>16.600000000000001</v>
      </c>
      <c r="AC30" s="88" t="str">
        <f>IF('Input Data'!AB89&gt;20,$M$6,"")</f>
        <v/>
      </c>
      <c r="AD30" s="88" t="str">
        <f>IF(AD19="Year 22",$M$6,"")</f>
        <v/>
      </c>
      <c r="AE30" s="88" t="str">
        <f>IF(AE19="Year 23",$M$6,"")</f>
        <v/>
      </c>
      <c r="AF30" s="88" t="str">
        <f>IF(AF19="Year 24",$M$6,"")</f>
        <v/>
      </c>
      <c r="AG30" s="88" t="str">
        <f>IF(AG19="Year 25",$M$6,"")</f>
        <v/>
      </c>
      <c r="AH30" s="88" t="str">
        <f>IF('Input Data'!AB89&gt;25,$M$6,"")</f>
        <v/>
      </c>
      <c r="AI30" s="88" t="str">
        <f>IF(AI19="Year 27",$M$6,"")</f>
        <v/>
      </c>
      <c r="AJ30" s="88" t="str">
        <f>IF(AJ19="Year 28",$M$6,"")</f>
        <v/>
      </c>
      <c r="AK30" s="88" t="str">
        <f>IF(AK19="Year 29",$M$6,"")</f>
        <v/>
      </c>
      <c r="AL30" s="88" t="str">
        <f>IF(AL19="Year 30",$M$6,"")</f>
        <v/>
      </c>
      <c r="AM30" s="88" t="str">
        <f>IF('Input Data'!AB89&gt;30,$M$6,"")</f>
        <v/>
      </c>
    </row>
    <row r="31" spans="2:39" x14ac:dyDescent="0.2">
      <c r="B31" s="2" t="s">
        <v>21</v>
      </c>
      <c r="F31" s="3"/>
      <c r="G31" s="3"/>
      <c r="H31" s="3"/>
      <c r="I31" s="88">
        <f t="shared" ref="I31:AB31" si="4">$N$12</f>
        <v>2.6</v>
      </c>
      <c r="J31" s="88">
        <f t="shared" si="4"/>
        <v>2.6</v>
      </c>
      <c r="K31" s="88">
        <f t="shared" si="4"/>
        <v>2.6</v>
      </c>
      <c r="L31" s="88">
        <f t="shared" si="4"/>
        <v>2.6</v>
      </c>
      <c r="M31" s="88">
        <f t="shared" si="4"/>
        <v>2.6</v>
      </c>
      <c r="N31" s="88">
        <f t="shared" si="4"/>
        <v>2.6</v>
      </c>
      <c r="O31" s="88">
        <f t="shared" si="4"/>
        <v>2.6</v>
      </c>
      <c r="P31" s="88">
        <f t="shared" si="4"/>
        <v>2.6</v>
      </c>
      <c r="Q31" s="88">
        <f t="shared" si="4"/>
        <v>2.6</v>
      </c>
      <c r="R31" s="88">
        <f t="shared" si="4"/>
        <v>2.6</v>
      </c>
      <c r="S31" s="88">
        <f t="shared" si="4"/>
        <v>2.6</v>
      </c>
      <c r="T31" s="88">
        <f t="shared" si="4"/>
        <v>2.6</v>
      </c>
      <c r="U31" s="88">
        <f t="shared" si="4"/>
        <v>2.6</v>
      </c>
      <c r="V31" s="88">
        <f t="shared" si="4"/>
        <v>2.6</v>
      </c>
      <c r="W31" s="88">
        <f t="shared" si="4"/>
        <v>2.6</v>
      </c>
      <c r="X31" s="88">
        <f t="shared" si="4"/>
        <v>2.6</v>
      </c>
      <c r="Y31" s="88">
        <f t="shared" si="4"/>
        <v>2.6</v>
      </c>
      <c r="Z31" s="88">
        <f t="shared" si="4"/>
        <v>2.6</v>
      </c>
      <c r="AA31" s="88">
        <f t="shared" si="4"/>
        <v>2.6</v>
      </c>
      <c r="AB31" s="88">
        <f t="shared" si="4"/>
        <v>2.6</v>
      </c>
      <c r="AC31" s="88" t="str">
        <f>IF('Input Data'!AB89&gt;20,$N$12,"")</f>
        <v/>
      </c>
      <c r="AD31" s="88" t="str">
        <f>IF(AD19="Year 22",$N$12,"")</f>
        <v/>
      </c>
      <c r="AE31" s="88" t="str">
        <f>IF(AE19="Year 23",$N$12,"")</f>
        <v/>
      </c>
      <c r="AF31" s="88" t="str">
        <f>IF(AF19="Year 24",$N$12,"")</f>
        <v/>
      </c>
      <c r="AG31" s="88" t="str">
        <f>IF(AG19="Year 25",$N$12,"")</f>
        <v/>
      </c>
      <c r="AH31" s="88" t="str">
        <f>IF('Input Data'!AB89&gt;25,$N$12,"")</f>
        <v/>
      </c>
      <c r="AI31" s="88" t="str">
        <f>IF(AI19="Year 27",$N$12,"")</f>
        <v/>
      </c>
      <c r="AJ31" s="88" t="str">
        <f>IF(AJ19="Year 28",$N$12,"")</f>
        <v/>
      </c>
      <c r="AK31" s="88" t="str">
        <f>IF(AK19="Year 29",$N$12,"")</f>
        <v/>
      </c>
      <c r="AL31" s="88" t="str">
        <f>IF(AL19="Year 30",$N$12,"")</f>
        <v/>
      </c>
      <c r="AM31" s="88" t="str">
        <f>IF('Input Data'!AB89&gt;30,$N$12,"")</f>
        <v/>
      </c>
    </row>
    <row r="32" spans="2:39" x14ac:dyDescent="0.2">
      <c r="B32" s="2" t="s">
        <v>22</v>
      </c>
      <c r="F32" s="3"/>
      <c r="G32" s="3"/>
      <c r="H32" s="3"/>
      <c r="I32" s="88">
        <f>I22*I23*'Input Data'!$AB$74/0.85</f>
        <v>7.6470588235294133E-4</v>
      </c>
      <c r="J32" s="88">
        <f>J22*J23*'Input Data'!$AB$74/0.85</f>
        <v>8.8235294117647062E-4</v>
      </c>
      <c r="K32" s="88">
        <f>K22*K23*'Input Data'!$AB$74/0.85</f>
        <v>1E-3</v>
      </c>
      <c r="L32" s="88">
        <f>L22*L23*'Input Data'!$AB$74/0.85</f>
        <v>1E-3</v>
      </c>
      <c r="M32" s="88">
        <f>M22*M23*'Input Data'!$AB$74/0.85</f>
        <v>1E-3</v>
      </c>
      <c r="N32" s="88">
        <f>N22*N23*'Input Data'!$AB$74/0.85</f>
        <v>1E-3</v>
      </c>
      <c r="O32" s="88">
        <f>O22*O23*'Input Data'!$AB$74/0.85</f>
        <v>1E-3</v>
      </c>
      <c r="P32" s="88">
        <f>P22*P23*'Input Data'!$AB$74/0.85</f>
        <v>1E-3</v>
      </c>
      <c r="Q32" s="88">
        <f>Q22*Q23*'Input Data'!$AB$74/0.85</f>
        <v>1E-3</v>
      </c>
      <c r="R32" s="88">
        <f>R22*R23*'Input Data'!$AB$74/0.85</f>
        <v>1E-3</v>
      </c>
      <c r="S32" s="88">
        <f>S22*S23*'Input Data'!$AB$74/0.85</f>
        <v>1E-3</v>
      </c>
      <c r="T32" s="88">
        <f>T22*T23*'Input Data'!$AB$74/0.85</f>
        <v>1E-3</v>
      </c>
      <c r="U32" s="88">
        <f>U22*U23*'Input Data'!$AB$74/0.85</f>
        <v>1E-3</v>
      </c>
      <c r="V32" s="88">
        <f>V22*V23*'Input Data'!$AB$74/0.85</f>
        <v>1E-3</v>
      </c>
      <c r="W32" s="88">
        <f>W22*W23*'Input Data'!$AB$74/0.85</f>
        <v>1E-3</v>
      </c>
      <c r="X32" s="88">
        <f>X22*X23*'Input Data'!$AB$74/0.85</f>
        <v>1E-3</v>
      </c>
      <c r="Y32" s="88">
        <f>Y22*Y23*'Input Data'!$AB$74/0.85</f>
        <v>1E-3</v>
      </c>
      <c r="Z32" s="88">
        <f>Z22*Z23*'Input Data'!$AB$74/0.85</f>
        <v>1E-3</v>
      </c>
      <c r="AA32" s="88">
        <f>AA22*AA23*'Input Data'!$AB$74/0.85</f>
        <v>1E-3</v>
      </c>
      <c r="AB32" s="88">
        <f>AB22*AB23*'Input Data'!$AB$74/0.85</f>
        <v>1E-3</v>
      </c>
      <c r="AC32" s="88" t="str">
        <f>IF('Input Data'!AB89&gt;20,AC22*AC23*'Input Data'!$AB$74/0.85,"")</f>
        <v/>
      </c>
      <c r="AD32" s="88" t="str">
        <f>IF(AD19="Year 22",AD22*AD23*'Input Data'!$AB$74/0.85,"")</f>
        <v/>
      </c>
      <c r="AE32" s="88" t="str">
        <f>IF(AE19="Year 23",AE22*AE23*'Input Data'!$AB$74/0.85,"")</f>
        <v/>
      </c>
      <c r="AF32" s="88" t="str">
        <f>IF(AF19="Year 24",AF22*AF23*'Input Data'!$AB$74/0.85,"")</f>
        <v/>
      </c>
      <c r="AG32" s="88" t="str">
        <f>IF(AG19="Year 25",AG22*AG23*'Input Data'!$AB$74/0.85,"")</f>
        <v/>
      </c>
      <c r="AH32" s="88" t="str">
        <f>IF('Input Data'!AB89&gt;25,AH22*AH23*'Input Data'!$AB$74/0.85,"")</f>
        <v/>
      </c>
      <c r="AI32" s="88" t="str">
        <f>IF(AI19="Year 27",AI22*AI23*'Input Data'!$AB$74/0.85,"")</f>
        <v/>
      </c>
      <c r="AJ32" s="88" t="str">
        <f>IF(AJ19="Year 28",AJ22*AJ23*'Input Data'!$AB$74/0.85,"")</f>
        <v/>
      </c>
      <c r="AK32" s="88" t="str">
        <f>IF(AK19="Year 29",AK22*AK23*'Input Data'!$AB$74/0.85,"")</f>
        <v/>
      </c>
      <c r="AL32" s="88" t="str">
        <f>IF(AL19="Year 30",AL22*AL23*'Input Data'!$AB$74/0.85,"")</f>
        <v/>
      </c>
      <c r="AM32" s="88" t="str">
        <f>IF('Input Data'!AB89&gt;30,AM22*AM23*'Input Data'!$AB$74/0.85,"")</f>
        <v/>
      </c>
    </row>
    <row r="33" spans="2:40" x14ac:dyDescent="0.2">
      <c r="B33" s="2" t="s">
        <v>124</v>
      </c>
      <c r="F33" s="3"/>
      <c r="G33" s="3"/>
      <c r="H33" s="3"/>
      <c r="I33" s="88">
        <f>I5*R10</f>
        <v>7.7779999999999996</v>
      </c>
      <c r="J33" s="88">
        <f>I5*R10</f>
        <v>7.7779999999999996</v>
      </c>
      <c r="K33" s="88">
        <f>I5*R10</f>
        <v>7.7779999999999996</v>
      </c>
      <c r="L33" s="88">
        <f>I5*R10</f>
        <v>7.7779999999999996</v>
      </c>
      <c r="M33" s="88">
        <f>I5*R10</f>
        <v>7.7779999999999996</v>
      </c>
      <c r="N33" s="88">
        <f>I5*R10</f>
        <v>7.7779999999999996</v>
      </c>
      <c r="O33" s="88">
        <f>I5*R10</f>
        <v>7.7779999999999996</v>
      </c>
      <c r="P33" s="88">
        <f>I5*R10</f>
        <v>7.7779999999999996</v>
      </c>
      <c r="Q33" s="88">
        <f>I5*R10</f>
        <v>7.7779999999999996</v>
      </c>
      <c r="R33" s="88">
        <f>I5*R10</f>
        <v>7.7779999999999996</v>
      </c>
      <c r="S33" s="88">
        <f>I5*R10</f>
        <v>7.7779999999999996</v>
      </c>
      <c r="T33" s="88">
        <f>I5*R10</f>
        <v>7.7779999999999996</v>
      </c>
      <c r="U33" s="88">
        <f>I5*R10</f>
        <v>7.7779999999999996</v>
      </c>
      <c r="V33" s="88">
        <f>I5*R10</f>
        <v>7.7779999999999996</v>
      </c>
      <c r="W33" s="88">
        <f>I5*R10</f>
        <v>7.7779999999999996</v>
      </c>
      <c r="X33" s="88">
        <f>I5*R10</f>
        <v>7.7779999999999996</v>
      </c>
      <c r="Y33" s="88">
        <f>I5*R10</f>
        <v>7.7779999999999996</v>
      </c>
      <c r="Z33" s="88">
        <f>I5*R10</f>
        <v>7.7779999999999996</v>
      </c>
      <c r="AA33" s="88">
        <f>I5*R10</f>
        <v>7.7779999999999996</v>
      </c>
      <c r="AB33" s="88">
        <f>I5*R10</f>
        <v>7.7779999999999996</v>
      </c>
      <c r="AC33" s="88" t="str">
        <f>IF('Input Data'!AB89&gt;20,I5*R10,"")</f>
        <v/>
      </c>
      <c r="AD33" s="88" t="str">
        <f>IF(AD19="Year 22",R10*I5,"")</f>
        <v/>
      </c>
      <c r="AE33" s="88" t="str">
        <f>IF(AE19="Year 23",I5*R10,"")</f>
        <v/>
      </c>
      <c r="AF33" s="88" t="str">
        <f>IF(AF19="Year 24",I5*R10,"")</f>
        <v/>
      </c>
      <c r="AG33" s="88" t="str">
        <f>IF(AG19="Year 25",I5*R10,"")</f>
        <v/>
      </c>
      <c r="AH33" s="88" t="str">
        <f>IF('Input Data'!AB89&gt;25,I5*R10,"")</f>
        <v/>
      </c>
      <c r="AI33" s="88" t="str">
        <f>IF(AI19="Year 27",I5*R10,"")</f>
        <v/>
      </c>
      <c r="AJ33" s="88" t="str">
        <f>IF(AJ19="Year 28",I5*R10,"")</f>
        <v/>
      </c>
      <c r="AK33" s="88" t="str">
        <f>IF(AK19="Year 29",I5*R10,"")</f>
        <v/>
      </c>
      <c r="AL33" s="88" t="str">
        <f>IF(AL19="Year 30",I5*R10,"")</f>
        <v/>
      </c>
      <c r="AM33" s="88" t="str">
        <f>IF('Input Data'!AB89&gt;30,I5*R10,"")</f>
        <v/>
      </c>
    </row>
    <row r="34" spans="2:40" ht="15.75" x14ac:dyDescent="0.3">
      <c r="B34" s="2" t="s">
        <v>197</v>
      </c>
      <c r="F34" s="3"/>
      <c r="G34" s="3"/>
      <c r="H34" s="3"/>
      <c r="I34" s="88">
        <f>'Input Data'!$AB$33*'Input Data'!$AB$77*I24/1000000</f>
        <v>0</v>
      </c>
      <c r="J34" s="88">
        <f>'Input Data'!$AB$33*'Input Data'!$AB$77*J24/1000000</f>
        <v>0</v>
      </c>
      <c r="K34" s="88">
        <f>'Input Data'!$AB$33*'Input Data'!$AB$77*K24/1000000</f>
        <v>0</v>
      </c>
      <c r="L34" s="88">
        <f>'Input Data'!$AB$33*'Input Data'!$AB$77*L24/1000000</f>
        <v>0</v>
      </c>
      <c r="M34" s="88">
        <f>'Input Data'!$AB$33*'Input Data'!$AB$77*M24/1000000</f>
        <v>0</v>
      </c>
      <c r="N34" s="88">
        <f>'Input Data'!$AB$33*'Input Data'!$AB$77*N24/1000000</f>
        <v>0</v>
      </c>
      <c r="O34" s="88">
        <f>'Input Data'!$AB$33*'Input Data'!$AB$77*O24/1000000</f>
        <v>0</v>
      </c>
      <c r="P34" s="88">
        <f>'Input Data'!$AB$33*'Input Data'!$AB$77*P24/1000000</f>
        <v>0</v>
      </c>
      <c r="Q34" s="88">
        <f>'Input Data'!$AB$33*'Input Data'!$AB$77*Q24/1000000</f>
        <v>0</v>
      </c>
      <c r="R34" s="88">
        <f>'Input Data'!$AB$33*'Input Data'!$AB$77*R24/1000000</f>
        <v>0</v>
      </c>
      <c r="S34" s="88">
        <f>'Input Data'!$AB$33*'Input Data'!$AB$77*S24/1000000</f>
        <v>0</v>
      </c>
      <c r="T34" s="88">
        <f>'Input Data'!$AB$33*'Input Data'!$AB$77*T24/1000000</f>
        <v>0</v>
      </c>
      <c r="U34" s="88">
        <f>'Input Data'!$AB$33*'Input Data'!$AB$77*U24/1000000</f>
        <v>0</v>
      </c>
      <c r="V34" s="88">
        <f>'Input Data'!$AB$33*'Input Data'!$AB$77*V24/1000000</f>
        <v>0</v>
      </c>
      <c r="W34" s="88">
        <f>'Input Data'!$AB$33*'Input Data'!$AB$77*W24/1000000</f>
        <v>0</v>
      </c>
      <c r="X34" s="88">
        <f>'Input Data'!$AB$33*'Input Data'!$AB$77*X24/1000000</f>
        <v>0</v>
      </c>
      <c r="Y34" s="88">
        <f>'Input Data'!$AB$33*'Input Data'!$AB$77*Y24/1000000</f>
        <v>0</v>
      </c>
      <c r="Z34" s="88">
        <f>'Input Data'!$AB$33*'Input Data'!$AB$77*Z24/1000000</f>
        <v>0</v>
      </c>
      <c r="AA34" s="88">
        <f>'Input Data'!$AB$33*'Input Data'!$AB$77*AA24/1000000</f>
        <v>0</v>
      </c>
      <c r="AB34" s="88">
        <f>'Input Data'!$AB$33*'Input Data'!$AB$77*AB24/1000000</f>
        <v>0</v>
      </c>
      <c r="AC34" s="88" t="str">
        <f>IF('Input Data'!AB89&gt;20,'Input Data'!$AB$33*'Input Data'!$AB$77*AC24/1000000,"")</f>
        <v/>
      </c>
      <c r="AD34" s="88" t="str">
        <f>IF(AD19="Year 22",'Input Data'!$AB$33*'Input Data'!$AB$77*AD24/1000000,"")</f>
        <v/>
      </c>
      <c r="AE34" s="88" t="str">
        <f>IF(AE19="Year 23",'Input Data'!$AB$33*'Input Data'!$AB$77*AE24/1000000,"")</f>
        <v/>
      </c>
      <c r="AF34" s="88" t="str">
        <f>IF(AF19="Year 24",'Input Data'!$AB$33*'Input Data'!$AB$77*AF24/1000000,"")</f>
        <v/>
      </c>
      <c r="AG34" s="88" t="str">
        <f>IF(AG19="Year 25",'Input Data'!$AB$33*'Input Data'!$AB$77*AG24/1000000,"")</f>
        <v/>
      </c>
      <c r="AH34" s="88" t="str">
        <f>IF('Input Data'!AB89&gt;25,'Input Data'!$AB$33*'Input Data'!$AB$77*AH24/1000000,"")</f>
        <v/>
      </c>
      <c r="AI34" s="88" t="str">
        <f>IF(AI19="Year 27",'Input Data'!$AB$33*'Input Data'!$AB$77*AI24/1000000,"")</f>
        <v/>
      </c>
      <c r="AJ34" s="88" t="str">
        <f>IF(AJ19="Year 28",'Input Data'!$AB$33*'Input Data'!$AB$77*AJ24/1000000,"")</f>
        <v/>
      </c>
      <c r="AK34" s="88" t="str">
        <f>IF(AK19="Year 29",'Input Data'!$AB$33*'Input Data'!$AB$77*AK24/1000000,"")</f>
        <v/>
      </c>
      <c r="AL34" s="88" t="str">
        <f>IF(AL19="Year 30",'Input Data'!$AB$33*'Input Data'!$AB$77*AL24/1000000,"")</f>
        <v/>
      </c>
      <c r="AM34" s="88" t="str">
        <f>IF('Input Data'!AB89&gt;30,'Input Data'!$AB$33*'Input Data'!$AB$77*AM24/1000000,"")</f>
        <v/>
      </c>
    </row>
    <row r="35" spans="2:40" x14ac:dyDescent="0.2">
      <c r="B35" s="1" t="s">
        <v>132</v>
      </c>
      <c r="F35" s="88">
        <f>I10*F25</f>
        <v>136.11499999999998</v>
      </c>
      <c r="G35" s="88">
        <f>I10*G25</f>
        <v>245.00699999999998</v>
      </c>
      <c r="H35" s="88">
        <f>H25*I10</f>
        <v>163.33799999999997</v>
      </c>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2:40" ht="13.5" thickBot="1" x14ac:dyDescent="0.25">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40" ht="13.5" thickBot="1" x14ac:dyDescent="0.25">
      <c r="B37" s="90" t="s">
        <v>129</v>
      </c>
      <c r="C37" s="91"/>
      <c r="D37" s="91"/>
      <c r="E37" s="91"/>
      <c r="F37" s="92">
        <f t="shared" ref="F37:AB37" si="5">SUM(F27:F27)-SUM(F29:F34)-F35</f>
        <v>-136.11499999999998</v>
      </c>
      <c r="G37" s="92">
        <f t="shared" si="5"/>
        <v>-245.00699999999998</v>
      </c>
      <c r="H37" s="92">
        <f t="shared" si="5"/>
        <v>-163.33799999999997</v>
      </c>
      <c r="I37" s="92">
        <f t="shared" si="5"/>
        <v>50.143390515134968</v>
      </c>
      <c r="J37" s="92">
        <f t="shared" si="5"/>
        <v>62.008219825155663</v>
      </c>
      <c r="K37" s="92">
        <f t="shared" si="5"/>
        <v>73.873049135176359</v>
      </c>
      <c r="L37" s="92">
        <f t="shared" si="5"/>
        <v>73.873049135176359</v>
      </c>
      <c r="M37" s="92">
        <f t="shared" si="5"/>
        <v>73.873049135176359</v>
      </c>
      <c r="N37" s="92">
        <f t="shared" si="5"/>
        <v>73.873049135176359</v>
      </c>
      <c r="O37" s="92">
        <f t="shared" si="5"/>
        <v>73.873049135176359</v>
      </c>
      <c r="P37" s="92">
        <f t="shared" si="5"/>
        <v>73.873049135176359</v>
      </c>
      <c r="Q37" s="92">
        <f t="shared" si="5"/>
        <v>73.873049135176359</v>
      </c>
      <c r="R37" s="92">
        <f t="shared" si="5"/>
        <v>73.873049135176359</v>
      </c>
      <c r="S37" s="92">
        <f t="shared" si="5"/>
        <v>73.873049135176359</v>
      </c>
      <c r="T37" s="92">
        <f t="shared" si="5"/>
        <v>73.873049135176359</v>
      </c>
      <c r="U37" s="92">
        <f t="shared" si="5"/>
        <v>73.873049135176359</v>
      </c>
      <c r="V37" s="92">
        <f t="shared" si="5"/>
        <v>73.873049135176359</v>
      </c>
      <c r="W37" s="92">
        <f t="shared" si="5"/>
        <v>73.873049135176359</v>
      </c>
      <c r="X37" s="92">
        <f t="shared" si="5"/>
        <v>73.873049135176359</v>
      </c>
      <c r="Y37" s="92">
        <f t="shared" si="5"/>
        <v>73.873049135176359</v>
      </c>
      <c r="Z37" s="92">
        <f t="shared" si="5"/>
        <v>73.873049135176359</v>
      </c>
      <c r="AA37" s="92">
        <f t="shared" si="5"/>
        <v>73.873049135176359</v>
      </c>
      <c r="AB37" s="92">
        <f t="shared" si="5"/>
        <v>73.873049135176359</v>
      </c>
      <c r="AC37" s="92">
        <f>IF(AC19="Year 21",SUM(AC27:AC27)-SUM(AC29:AC34)-AC35,"")</f>
        <v>0</v>
      </c>
      <c r="AD37" s="92" t="str">
        <f>IF(AD19="Year 22",SUM(AD27:AD27)-SUM(AD29:AD34)-AD35,"")</f>
        <v/>
      </c>
      <c r="AE37" s="92" t="str">
        <f>IF(AE19="Year 23",SUM(AE27:AE27)-SUM(AE29:AE34)-AE35,"")</f>
        <v/>
      </c>
      <c r="AF37" s="92" t="str">
        <f>IF(AF19="Year 24",SUM(AF27:AF27)-SUM(AF29:AF34)-AF35,"")</f>
        <v/>
      </c>
      <c r="AG37" s="92" t="str">
        <f>IF(AG19="Year 25",SUM(AG27:AG27)-SUM(AG29:AG34)-AG35,"")</f>
        <v/>
      </c>
      <c r="AH37" s="92" t="str">
        <f>IF(AH19="Year 26",SUM(AH27:AH27)-SUM(AH29:AH34)-AH35,"")</f>
        <v/>
      </c>
      <c r="AI37" s="92" t="str">
        <f>IF(AI19="Year 27",SUM(AI27:AI27)-SUM(AI29:AI34)-AI35,"")</f>
        <v/>
      </c>
      <c r="AJ37" s="92" t="str">
        <f>IF(AJ19="Year 28",SUM(AJ27:AJ27)-SUM(AJ29:AJ34)-AJ35,"")</f>
        <v/>
      </c>
      <c r="AK37" s="92" t="str">
        <f>IF(AK19="Year 29",SUM(AK27:AK27)-SUM(AK29:AK34)-AK35,"")</f>
        <v/>
      </c>
      <c r="AL37" s="92" t="str">
        <f>IF(AL19="Year 30",SUM(AL27:AL27)-SUM(AL29:AL34)-AL35,"")</f>
        <v/>
      </c>
      <c r="AM37" s="92" t="str">
        <f>IF(AM19="Year 31",SUM(AM27:AM27)-SUM(AM29:AM34)-AM35,"")</f>
        <v/>
      </c>
    </row>
    <row r="38" spans="2:40" ht="13.5" thickBot="1" x14ac:dyDescent="0.25">
      <c r="B38" s="90" t="s">
        <v>130</v>
      </c>
      <c r="C38" s="91"/>
      <c r="D38" s="91"/>
      <c r="E38" s="91"/>
      <c r="F38" s="93">
        <f>F37</f>
        <v>-136.11499999999998</v>
      </c>
      <c r="G38" s="93">
        <f>-1*(ABS(G37)+ABS(F38))</f>
        <v>-381.12199999999996</v>
      </c>
      <c r="H38" s="93">
        <f>-1*(ABS(H37)+ABS(G38))</f>
        <v>-544.45999999999992</v>
      </c>
      <c r="I38" s="93">
        <f t="shared" ref="I38:AB38" si="6">H38+I37</f>
        <v>-494.31660948486495</v>
      </c>
      <c r="J38" s="93">
        <f t="shared" si="6"/>
        <v>-432.30838965970929</v>
      </c>
      <c r="K38" s="93">
        <f t="shared" si="6"/>
        <v>-358.43534052453293</v>
      </c>
      <c r="L38" s="93">
        <f t="shared" si="6"/>
        <v>-284.56229138935657</v>
      </c>
      <c r="M38" s="93">
        <f t="shared" si="6"/>
        <v>-210.68924225418021</v>
      </c>
      <c r="N38" s="93">
        <f t="shared" si="6"/>
        <v>-136.81619311900386</v>
      </c>
      <c r="O38" s="93">
        <f t="shared" si="6"/>
        <v>-62.943143983827497</v>
      </c>
      <c r="P38" s="93">
        <f t="shared" si="6"/>
        <v>10.929905151348862</v>
      </c>
      <c r="Q38" s="93">
        <f t="shared" si="6"/>
        <v>84.802954286525221</v>
      </c>
      <c r="R38" s="93">
        <f t="shared" si="6"/>
        <v>158.67600342170158</v>
      </c>
      <c r="S38" s="93">
        <f t="shared" si="6"/>
        <v>232.54905255687794</v>
      </c>
      <c r="T38" s="93">
        <f t="shared" si="6"/>
        <v>306.4221016920543</v>
      </c>
      <c r="U38" s="93">
        <f t="shared" si="6"/>
        <v>380.29515082723066</v>
      </c>
      <c r="V38" s="93">
        <f t="shared" si="6"/>
        <v>454.16819996240702</v>
      </c>
      <c r="W38" s="93">
        <f t="shared" si="6"/>
        <v>528.04124909758343</v>
      </c>
      <c r="X38" s="93">
        <f t="shared" si="6"/>
        <v>601.91429823275985</v>
      </c>
      <c r="Y38" s="93">
        <f t="shared" si="6"/>
        <v>675.78734736793626</v>
      </c>
      <c r="Z38" s="93">
        <f t="shared" si="6"/>
        <v>749.66039650311268</v>
      </c>
      <c r="AA38" s="93">
        <f t="shared" si="6"/>
        <v>823.53344563828909</v>
      </c>
      <c r="AB38" s="93">
        <f t="shared" si="6"/>
        <v>897.40649477346551</v>
      </c>
      <c r="AC38" s="93">
        <f>IF(AC19="Year 21",AB38+AC37,"")</f>
        <v>897.40649477346551</v>
      </c>
      <c r="AD38" s="93" t="str">
        <f>IF(AD19="Year 22",AC38+AD37,"")</f>
        <v/>
      </c>
      <c r="AE38" s="93" t="str">
        <f>IF(AE19="Year 23",AD38+AE37,"")</f>
        <v/>
      </c>
      <c r="AF38" s="93" t="str">
        <f>IF(AF19="Year 24",AE38+AF37,"")</f>
        <v/>
      </c>
      <c r="AG38" s="93" t="str">
        <f>IF(AG19="Year 25",AF38+AG37,"")</f>
        <v/>
      </c>
      <c r="AH38" s="93" t="str">
        <f>IF(AH19="Year 26",AG38+AH37,"")</f>
        <v/>
      </c>
      <c r="AI38" s="93" t="str">
        <f>IF(AI19="Year 27",AH38+AI37,"")</f>
        <v/>
      </c>
      <c r="AJ38" s="93" t="str">
        <f>IF(AJ19="Year 28",AI38+AJ37,"")</f>
        <v/>
      </c>
      <c r="AK38" s="93" t="str">
        <f>IF(AK19="Year 29",AJ38+AK37,"")</f>
        <v/>
      </c>
      <c r="AL38" s="93" t="str">
        <f>IF(AL19="Year 30",AK38+AL37,"")</f>
        <v/>
      </c>
      <c r="AM38" s="93" t="str">
        <f>IF(AM19="Year 31",AL38+AM37,"")</f>
        <v/>
      </c>
    </row>
    <row r="39" spans="2:40" ht="13.5" thickBot="1" x14ac:dyDescent="0.25">
      <c r="B39" s="90"/>
      <c r="C39" s="91"/>
      <c r="D39" s="91"/>
      <c r="E39" s="91"/>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1"/>
      <c r="AJ39" s="91"/>
      <c r="AK39" s="91"/>
      <c r="AL39" s="91"/>
      <c r="AM39" s="91"/>
    </row>
    <row r="40" spans="2:40" ht="13.5" thickBot="1" x14ac:dyDescent="0.25">
      <c r="B40" s="90" t="s">
        <v>128</v>
      </c>
      <c r="C40" s="91"/>
      <c r="D40" s="91"/>
      <c r="E40" s="91"/>
      <c r="F40" s="93">
        <f>F38/(1+R9)</f>
        <v>-123.74090909090906</v>
      </c>
      <c r="G40" s="93">
        <f>G37/(1+R9)^2</f>
        <v>-202.4851239669421</v>
      </c>
      <c r="H40" s="93">
        <f>H37/(1+R9)^3</f>
        <v>-122.71825694966185</v>
      </c>
      <c r="I40" s="93">
        <f>I37/(1+R9)^4</f>
        <v>34.248610419462437</v>
      </c>
      <c r="J40" s="93">
        <f>J37/(1+R9)^5</f>
        <v>38.502225894378576</v>
      </c>
      <c r="K40" s="93">
        <f>K37/(1+R9)^6</f>
        <v>41.699410370388783</v>
      </c>
      <c r="L40" s="93">
        <f>L37/(1+R9)^7</f>
        <v>37.908554882171615</v>
      </c>
      <c r="M40" s="93">
        <f>M37/(1+R9)^8</f>
        <v>34.462322620156016</v>
      </c>
      <c r="N40" s="93">
        <f>N37/(1+R9)^9</f>
        <v>31.329384200141831</v>
      </c>
      <c r="O40" s="93">
        <f>O37/(1+R9)^10</f>
        <v>28.481258363765299</v>
      </c>
      <c r="P40" s="93">
        <f>P37/(1+R9)^11</f>
        <v>25.89205305796845</v>
      </c>
      <c r="Q40" s="93">
        <f>Q37/(1+R9)^12</f>
        <v>23.538230052698591</v>
      </c>
      <c r="R40" s="93">
        <f>R37/(1+R9)^13</f>
        <v>21.398390956998718</v>
      </c>
      <c r="S40" s="93">
        <f>S37/(1+R9)^14</f>
        <v>19.45308268818065</v>
      </c>
      <c r="T40" s="93">
        <f>T37/(1+R9)^15</f>
        <v>17.684620625618773</v>
      </c>
      <c r="U40" s="93">
        <f>U37/(1+R9)^16</f>
        <v>16.076927841471612</v>
      </c>
      <c r="V40" s="93">
        <f>V37/(1+R9)^17</f>
        <v>14.615388946792374</v>
      </c>
      <c r="W40" s="93">
        <f>W37/(1+R9)^18</f>
        <v>13.286717224356702</v>
      </c>
      <c r="X40" s="93">
        <f>X37/(1+R9)^19</f>
        <v>12.078833840324272</v>
      </c>
      <c r="Y40" s="93">
        <f>Y37/(1+R9)^20</f>
        <v>10.980758036658429</v>
      </c>
      <c r="Z40" s="93">
        <f>Z37/(1+R9)^21</f>
        <v>9.9825073060531171</v>
      </c>
      <c r="AA40" s="93">
        <f>AA37/(1+R9)^22</f>
        <v>9.0750066418664677</v>
      </c>
      <c r="AB40" s="93">
        <f>AB37/(1+R9)^23</f>
        <v>8.250006038060425</v>
      </c>
      <c r="AC40" s="93">
        <f>IF(AC19="Year 21",AC37/(1+R9)^24,"")</f>
        <v>0</v>
      </c>
      <c r="AD40" s="93" t="str">
        <f>IF(AD19="Year 22",AD37/(1+R9)^25,"")</f>
        <v/>
      </c>
      <c r="AE40" s="93" t="str">
        <f>IF(AE19="Year 23",AE37/(1+R9)^26,"")</f>
        <v/>
      </c>
      <c r="AF40" s="93" t="str">
        <f>IF(AF19="Year 24",AF37/(1+R9)^27,"")</f>
        <v/>
      </c>
      <c r="AG40" s="93" t="str">
        <f>IF(AG19="Year 25",AG37/(1+R9)^28,"")</f>
        <v/>
      </c>
      <c r="AH40" s="93" t="str">
        <f>IF(AH19="Year 26",AH37/(1+R9)^29,"")</f>
        <v/>
      </c>
      <c r="AI40" s="93" t="str">
        <f>IF(AI19="Year 27",AI37/(1+R9)^30,"")</f>
        <v/>
      </c>
      <c r="AJ40" s="93" t="str">
        <f>IF(AJ19="Year 28",AJ37/(1+R9)^31,"")</f>
        <v/>
      </c>
      <c r="AK40" s="93" t="str">
        <f>IF(AK19="Year 29",AK37/(1+R9)^32,"")</f>
        <v/>
      </c>
      <c r="AL40" s="93" t="str">
        <f>IF(AL19="Year 30",AL37/(1+R9)^33,"")</f>
        <v/>
      </c>
      <c r="AM40" s="93" t="str">
        <f>IF(AM19="Year 31",AM37/(1+R9)^34,"")</f>
        <v/>
      </c>
    </row>
    <row r="41" spans="2:40" ht="13.5" thickBot="1" x14ac:dyDescent="0.25">
      <c r="B41" s="90" t="s">
        <v>131</v>
      </c>
      <c r="C41" s="91"/>
      <c r="D41" s="91"/>
      <c r="E41" s="91"/>
      <c r="F41" s="93">
        <f>F40</f>
        <v>-123.74090909090906</v>
      </c>
      <c r="G41" s="93">
        <f>SUM(G40+F41)</f>
        <v>-326.22603305785117</v>
      </c>
      <c r="H41" s="93">
        <f>SUM(H40+G41)</f>
        <v>-448.94429000751302</v>
      </c>
      <c r="I41" s="93">
        <f>SUM(I40+H41)</f>
        <v>-414.69567958805055</v>
      </c>
      <c r="J41" s="93">
        <f t="shared" ref="J41:AB41" si="7">SUM(J40+I41)</f>
        <v>-376.19345369367198</v>
      </c>
      <c r="K41" s="93">
        <f t="shared" si="7"/>
        <v>-334.49404332328322</v>
      </c>
      <c r="L41" s="93">
        <f t="shared" si="7"/>
        <v>-296.58548844111158</v>
      </c>
      <c r="M41" s="93">
        <f t="shared" si="7"/>
        <v>-262.12316582095559</v>
      </c>
      <c r="N41" s="93">
        <f t="shared" si="7"/>
        <v>-230.79378162081377</v>
      </c>
      <c r="O41" s="93">
        <f t="shared" si="7"/>
        <v>-202.31252325704847</v>
      </c>
      <c r="P41" s="93">
        <f t="shared" si="7"/>
        <v>-176.42047019908003</v>
      </c>
      <c r="Q41" s="93">
        <f t="shared" si="7"/>
        <v>-152.88224014638143</v>
      </c>
      <c r="R41" s="93">
        <f t="shared" si="7"/>
        <v>-131.48384918938271</v>
      </c>
      <c r="S41" s="93">
        <f t="shared" si="7"/>
        <v>-112.03076650120207</v>
      </c>
      <c r="T41" s="93">
        <f t="shared" si="7"/>
        <v>-94.346145875583289</v>
      </c>
      <c r="U41" s="93">
        <f t="shared" si="7"/>
        <v>-78.269218034111674</v>
      </c>
      <c r="V41" s="93">
        <f t="shared" si="7"/>
        <v>-63.653829087319302</v>
      </c>
      <c r="W41" s="93">
        <f t="shared" si="7"/>
        <v>-50.367111862962602</v>
      </c>
      <c r="X41" s="93">
        <f t="shared" si="7"/>
        <v>-38.28827802263833</v>
      </c>
      <c r="Y41" s="93">
        <f t="shared" si="7"/>
        <v>-27.307519985979901</v>
      </c>
      <c r="Z41" s="93">
        <f t="shared" si="7"/>
        <v>-17.325012679926786</v>
      </c>
      <c r="AA41" s="93">
        <f t="shared" si="7"/>
        <v>-8.2500060380603184</v>
      </c>
      <c r="AB41" s="93">
        <f t="shared" si="7"/>
        <v>1.0658141036401503E-13</v>
      </c>
      <c r="AC41" s="93">
        <f>IF(AC19="Year 21",SUM(AC40+AB41),"")</f>
        <v>1.0658141036401503E-13</v>
      </c>
      <c r="AD41" s="93" t="str">
        <f>IF(AD19="Year 22",SUM(AD40+AC41),"")</f>
        <v/>
      </c>
      <c r="AE41" s="93" t="str">
        <f>IF(AE19="Year 23",SUM(AE40+AD41),"")</f>
        <v/>
      </c>
      <c r="AF41" s="93" t="str">
        <f>IF(AF19="Year 24",SUM(AF40+AE41),"")</f>
        <v/>
      </c>
      <c r="AG41" s="93" t="str">
        <f>IF(AG19="Year 25",SUM(AG40+AF41),"")</f>
        <v/>
      </c>
      <c r="AH41" s="93" t="str">
        <f>IF(AH19="Year 26",SUM(AH40+AG41),"")</f>
        <v/>
      </c>
      <c r="AI41" s="93" t="str">
        <f>IF(AI19="Year 27",SUM(AI40+AH41),"")</f>
        <v/>
      </c>
      <c r="AJ41" s="93" t="str">
        <f>IF(AJ19="Year 28",SUM(AJ40+AI41),"")</f>
        <v/>
      </c>
      <c r="AK41" s="93" t="str">
        <f>IF(AK19="Year 29",SUM(AK40+AJ41),"")</f>
        <v/>
      </c>
      <c r="AL41" s="93" t="str">
        <f>IF(AL19="Year 30",SUM(AL40+AK41),"")</f>
        <v/>
      </c>
      <c r="AM41" s="93" t="str">
        <f>IF(AM19="Year 31",SUM(AM40+AL41),"")</f>
        <v/>
      </c>
    </row>
    <row r="42" spans="2:40" x14ac:dyDescent="0.2">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2:40" s="229" customFormat="1" x14ac:dyDescent="0.2">
      <c r="F43" s="230"/>
      <c r="G43" s="230"/>
      <c r="H43" s="230"/>
      <c r="I43" s="230"/>
      <c r="J43" s="230"/>
      <c r="K43" s="230"/>
      <c r="L43" s="230"/>
      <c r="M43" s="230"/>
      <c r="N43" s="230"/>
      <c r="O43" s="230"/>
      <c r="P43" s="230"/>
      <c r="Q43" s="230"/>
      <c r="R43" s="230"/>
      <c r="S43" s="230"/>
      <c r="T43" s="230"/>
      <c r="U43" s="230"/>
      <c r="V43" s="230"/>
      <c r="W43" s="230"/>
      <c r="X43" s="230"/>
      <c r="Y43" s="230"/>
      <c r="Z43" s="230"/>
      <c r="AA43" s="230" t="s">
        <v>203</v>
      </c>
      <c r="AB43" s="230"/>
      <c r="AC43" s="231">
        <f>SUM(AC40+AB41)</f>
        <v>1.0658141036401503E-13</v>
      </c>
      <c r="AD43" s="231">
        <f>IF(AD40="",AC41,SUM(AD40+AC41))</f>
        <v>1.0658141036401503E-13</v>
      </c>
      <c r="AE43" s="231">
        <f>IF(AE40="",AD43,SUM(AE40+AD43))</f>
        <v>1.0658141036401503E-13</v>
      </c>
      <c r="AF43" s="231">
        <f>IF(AF40="",AE43,SUM(AF40+AE43))</f>
        <v>1.0658141036401503E-13</v>
      </c>
      <c r="AG43" s="231">
        <f t="shared" ref="AG43:AN43" si="8">IF(AG40="",AF43,SUM(AG40+AF43))</f>
        <v>1.0658141036401503E-13</v>
      </c>
      <c r="AH43" s="231">
        <f t="shared" si="8"/>
        <v>1.0658141036401503E-13</v>
      </c>
      <c r="AI43" s="231">
        <f t="shared" si="8"/>
        <v>1.0658141036401503E-13</v>
      </c>
      <c r="AJ43" s="231">
        <f t="shared" si="8"/>
        <v>1.0658141036401503E-13</v>
      </c>
      <c r="AK43" s="231">
        <f t="shared" si="8"/>
        <v>1.0658141036401503E-13</v>
      </c>
      <c r="AL43" s="231">
        <f t="shared" si="8"/>
        <v>1.0658141036401503E-13</v>
      </c>
      <c r="AM43" s="231">
        <f t="shared" si="8"/>
        <v>1.0658141036401503E-13</v>
      </c>
      <c r="AN43" s="231">
        <f t="shared" si="8"/>
        <v>1.0658141036401503E-13</v>
      </c>
    </row>
    <row r="44" spans="2:40" x14ac:dyDescent="0.2">
      <c r="F44" s="82"/>
      <c r="G44" s="82"/>
      <c r="H44" s="87"/>
    </row>
    <row r="45" spans="2:40" x14ac:dyDescent="0.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row>
    <row r="46" spans="2:40" x14ac:dyDescent="0.2">
      <c r="I46" s="82"/>
      <c r="AF46" t="s">
        <v>170</v>
      </c>
    </row>
    <row r="54" spans="8:9" x14ac:dyDescent="0.2">
      <c r="I54" s="150"/>
    </row>
    <row r="55" spans="8:9" x14ac:dyDescent="0.2">
      <c r="I55" s="150"/>
    </row>
    <row r="56" spans="8:9" x14ac:dyDescent="0.2">
      <c r="I56" s="150"/>
    </row>
    <row r="57" spans="8:9" x14ac:dyDescent="0.2">
      <c r="H57" s="150"/>
    </row>
    <row r="58" spans="8:9" x14ac:dyDescent="0.2">
      <c r="I58" s="150"/>
    </row>
    <row r="59" spans="8:9" x14ac:dyDescent="0.2">
      <c r="I59" s="170"/>
    </row>
  </sheetData>
  <sheetProtection password="C9BE" sheet="1" objects="1" scenarios="1" selectLockedCells="1" selectUnlockedCells="1"/>
  <protectedRanges>
    <protectedRange sqref="AN43" name="Range2"/>
    <protectedRange sqref="R5" name="Range1"/>
  </protectedRanges>
  <customSheetViews>
    <customSheetView guid="{F792C52D-3F7D-4169-B87A-F2F2698FB257}" scale="75" fitToPage="1" showRuler="0" topLeftCell="B1">
      <pane xSplit="4" ySplit="15" topLeftCell="F16" activePane="bottomRight" state="frozen"/>
      <selection pane="bottomRight" activeCell="J54" sqref="J54"/>
      <pageMargins left="0.75" right="0.75" top="1" bottom="1" header="0.5" footer="0.5"/>
      <pageSetup paperSize="9" scale="39" orientation="landscape" r:id="rId1"/>
      <headerFooter alignWithMargins="0"/>
    </customSheetView>
  </customSheetViews>
  <mergeCells count="1">
    <mergeCell ref="F17:AG17"/>
  </mergeCells>
  <phoneticPr fontId="4" type="noConversion"/>
  <pageMargins left="0.75" right="0.75" top="1" bottom="1" header="0.5" footer="0.5"/>
  <pageSetup paperSize="9" scale="3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Disclaimer</vt:lpstr>
      <vt:lpstr>Title Page</vt:lpstr>
      <vt:lpstr>Contents</vt:lpstr>
      <vt:lpstr>Input Data</vt:lpstr>
      <vt:lpstr>IGCC w CC</vt:lpstr>
      <vt:lpstr>IGCC wo CC</vt:lpstr>
      <vt:lpstr>CCGT w 90% CC</vt:lpstr>
      <vt:lpstr>CCGT w 75% CC</vt:lpstr>
      <vt:lpstr>CCGT wo CC</vt:lpstr>
      <vt:lpstr>USCPC w CC</vt:lpstr>
      <vt:lpstr>USCPC wo CC</vt:lpstr>
      <vt:lpstr>OXYFUEL with CC</vt:lpstr>
      <vt:lpstr>Summary Results</vt:lpstr>
      <vt:lpstr>'CCGT w 75% CC'!gs</vt:lpstr>
      <vt:lpstr>'CCGT w 90% CC'!gs</vt:lpstr>
      <vt:lpstr>'CCGT wo CC'!gs</vt:lpstr>
      <vt:lpstr>'IGCC wo CC'!gs</vt:lpstr>
      <vt:lpstr>'OXYFUEL with CC'!gs</vt:lpstr>
      <vt:lpstr>'USCPC w CC'!gs</vt:lpstr>
      <vt:lpstr>'USCPC wo CC'!gs</vt:lpstr>
      <vt:lpstr>gs</vt:lpstr>
      <vt:lpstr>ModelNumber</vt:lpstr>
      <vt:lpstr>ReleaseDate</vt:lpstr>
    </vt:vector>
  </TitlesOfParts>
  <Company>Foster Wheeler Energy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b2255</dc:creator>
  <cp:lastModifiedBy>Stewart Swatton</cp:lastModifiedBy>
  <cp:lastPrinted>2009-06-18T20:35:06Z</cp:lastPrinted>
  <dcterms:created xsi:type="dcterms:W3CDTF">2009-03-25T16:25:40Z</dcterms:created>
  <dcterms:modified xsi:type="dcterms:W3CDTF">2017-02-28T13:43:22Z</dcterms:modified>
</cp:coreProperties>
</file>